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buselvan\Projects\Dissent Courses\studio\public\courses\budget-burn-and-runway\"/>
    </mc:Choice>
  </mc:AlternateContent>
  <xr:revisionPtr revIDLastSave="0" documentId="13_ncr:1_{39D9E6A1-7DF5-4B94-8555-4BA34CF215F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adMe" sheetId="1" r:id="rId1"/>
    <sheet name="01_Case" sheetId="2" r:id="rId2"/>
    <sheet name="02_Plan" sheetId="3" r:id="rId3"/>
    <sheet name="03_Days" sheetId="4" r:id="rId4"/>
    <sheet name="04_13_Weeks" sheetId="5" r:id="rId5"/>
    <sheet name="05_Variance" sheetId="6" r:id="rId6"/>
    <sheet name="06_Runway" sheetId="7" r:id="rId7"/>
    <sheet name="07_Spec" sheetId="8" r:id="rId8"/>
    <sheet name="08_Answer_Check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3" i="7" l="1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C8" i="6"/>
  <c r="F7" i="6"/>
  <c r="E7" i="6"/>
  <c r="D7" i="6"/>
  <c r="D6" i="6"/>
  <c r="F5" i="6"/>
  <c r="E5" i="6"/>
  <c r="B16" i="6" s="1"/>
  <c r="D5" i="6"/>
  <c r="C6" i="5"/>
  <c r="O5" i="5"/>
  <c r="N5" i="5"/>
  <c r="M5" i="5"/>
  <c r="L5" i="5"/>
  <c r="K5" i="5"/>
  <c r="J5" i="5"/>
  <c r="I5" i="5"/>
  <c r="H5" i="5"/>
  <c r="G5" i="5"/>
  <c r="F5" i="5"/>
  <c r="E5" i="5"/>
  <c r="D5" i="5"/>
  <c r="C5" i="5"/>
  <c r="AA155" i="4"/>
  <c r="X155" i="4"/>
  <c r="W155" i="4"/>
  <c r="V155" i="4"/>
  <c r="U155" i="4"/>
  <c r="Q155" i="4"/>
  <c r="N155" i="4"/>
  <c r="D155" i="4"/>
  <c r="Z155" i="4" s="1"/>
  <c r="C155" i="4"/>
  <c r="B155" i="4"/>
  <c r="AA154" i="4"/>
  <c r="X154" i="4"/>
  <c r="W154" i="4"/>
  <c r="V154" i="4"/>
  <c r="U154" i="4"/>
  <c r="Q154" i="4"/>
  <c r="N154" i="4"/>
  <c r="D154" i="4"/>
  <c r="C154" i="4"/>
  <c r="B154" i="4"/>
  <c r="AA153" i="4"/>
  <c r="Y153" i="4"/>
  <c r="X153" i="4"/>
  <c r="W153" i="4"/>
  <c r="V153" i="4"/>
  <c r="U153" i="4"/>
  <c r="Q153" i="4"/>
  <c r="N153" i="4"/>
  <c r="D153" i="4"/>
  <c r="C153" i="4"/>
  <c r="B153" i="4"/>
  <c r="AA152" i="4"/>
  <c r="X152" i="4"/>
  <c r="W152" i="4"/>
  <c r="V152" i="4"/>
  <c r="U152" i="4"/>
  <c r="Q152" i="4"/>
  <c r="N152" i="4"/>
  <c r="D152" i="4"/>
  <c r="C152" i="4"/>
  <c r="B152" i="4"/>
  <c r="AA151" i="4"/>
  <c r="Y151" i="4"/>
  <c r="X151" i="4"/>
  <c r="W151" i="4"/>
  <c r="V151" i="4"/>
  <c r="U151" i="4"/>
  <c r="T151" i="4"/>
  <c r="Q151" i="4"/>
  <c r="N151" i="4"/>
  <c r="D151" i="4"/>
  <c r="C151" i="4"/>
  <c r="B151" i="4"/>
  <c r="AA150" i="4"/>
  <c r="X150" i="4"/>
  <c r="W150" i="4"/>
  <c r="V150" i="4"/>
  <c r="U150" i="4"/>
  <c r="Q150" i="4"/>
  <c r="N150" i="4"/>
  <c r="D150" i="4"/>
  <c r="T150" i="4" s="1"/>
  <c r="C150" i="4"/>
  <c r="B150" i="4"/>
  <c r="AA149" i="4"/>
  <c r="Z149" i="4"/>
  <c r="X149" i="4"/>
  <c r="W149" i="4"/>
  <c r="V149" i="4"/>
  <c r="U149" i="4"/>
  <c r="Q149" i="4"/>
  <c r="N149" i="4"/>
  <c r="D149" i="4"/>
  <c r="Y149" i="4" s="1"/>
  <c r="C149" i="4"/>
  <c r="B149" i="4"/>
  <c r="AA148" i="4"/>
  <c r="Z148" i="4"/>
  <c r="X148" i="4"/>
  <c r="W148" i="4"/>
  <c r="V148" i="4"/>
  <c r="U148" i="4"/>
  <c r="T148" i="4"/>
  <c r="Q148" i="4"/>
  <c r="N148" i="4"/>
  <c r="D148" i="4"/>
  <c r="Y148" i="4" s="1"/>
  <c r="C148" i="4"/>
  <c r="B148" i="4"/>
  <c r="AA147" i="4"/>
  <c r="X147" i="4"/>
  <c r="W147" i="4"/>
  <c r="V147" i="4"/>
  <c r="U147" i="4"/>
  <c r="T147" i="4"/>
  <c r="Q147" i="4"/>
  <c r="N147" i="4"/>
  <c r="D147" i="4"/>
  <c r="Z147" i="4" s="1"/>
  <c r="C147" i="4"/>
  <c r="B147" i="4"/>
  <c r="AA146" i="4"/>
  <c r="Y146" i="4"/>
  <c r="X146" i="4"/>
  <c r="W146" i="4"/>
  <c r="V146" i="4"/>
  <c r="U146" i="4"/>
  <c r="T146" i="4"/>
  <c r="Q146" i="4"/>
  <c r="N146" i="4"/>
  <c r="D146" i="4"/>
  <c r="C146" i="4"/>
  <c r="B146" i="4"/>
  <c r="AA145" i="4"/>
  <c r="W145" i="4"/>
  <c r="V145" i="4"/>
  <c r="Q145" i="4"/>
  <c r="N145" i="4"/>
  <c r="D145" i="4"/>
  <c r="C145" i="4"/>
  <c r="B145" i="4"/>
  <c r="AA144" i="4"/>
  <c r="X144" i="4"/>
  <c r="W144" i="4"/>
  <c r="V144" i="4"/>
  <c r="U144" i="4"/>
  <c r="Q144" i="4"/>
  <c r="N144" i="4"/>
  <c r="D144" i="4"/>
  <c r="C144" i="4"/>
  <c r="B144" i="4"/>
  <c r="AA143" i="4"/>
  <c r="X143" i="4"/>
  <c r="W143" i="4"/>
  <c r="V143" i="4"/>
  <c r="U143" i="4"/>
  <c r="Q143" i="4"/>
  <c r="N143" i="4"/>
  <c r="D143" i="4"/>
  <c r="C143" i="4"/>
  <c r="B143" i="4"/>
  <c r="AA142" i="4"/>
  <c r="Y142" i="4"/>
  <c r="X142" i="4"/>
  <c r="W142" i="4"/>
  <c r="V142" i="4"/>
  <c r="U142" i="4"/>
  <c r="T142" i="4"/>
  <c r="Q142" i="4"/>
  <c r="N142" i="4"/>
  <c r="D142" i="4"/>
  <c r="C142" i="4"/>
  <c r="B142" i="4"/>
  <c r="AA141" i="4"/>
  <c r="Y141" i="4"/>
  <c r="X141" i="4"/>
  <c r="W141" i="4"/>
  <c r="V141" i="4"/>
  <c r="U141" i="4"/>
  <c r="Q141" i="4"/>
  <c r="N141" i="4"/>
  <c r="D141" i="4"/>
  <c r="T141" i="4" s="1"/>
  <c r="C141" i="4"/>
  <c r="B141" i="4"/>
  <c r="AA140" i="4"/>
  <c r="X140" i="4"/>
  <c r="V140" i="4"/>
  <c r="U140" i="4"/>
  <c r="Q140" i="4"/>
  <c r="N140" i="4"/>
  <c r="D140" i="4"/>
  <c r="C140" i="4"/>
  <c r="B140" i="4"/>
  <c r="AA139" i="4"/>
  <c r="Z139" i="4"/>
  <c r="X139" i="4"/>
  <c r="W139" i="4"/>
  <c r="V139" i="4"/>
  <c r="U139" i="4"/>
  <c r="Q139" i="4"/>
  <c r="N139" i="4"/>
  <c r="D139" i="4"/>
  <c r="Y139" i="4" s="1"/>
  <c r="C139" i="4"/>
  <c r="B139" i="4"/>
  <c r="AA138" i="4"/>
  <c r="X138" i="4"/>
  <c r="W138" i="4"/>
  <c r="V138" i="4"/>
  <c r="U138" i="4"/>
  <c r="Q138" i="4"/>
  <c r="N138" i="4"/>
  <c r="D138" i="4"/>
  <c r="T138" i="4" s="1"/>
  <c r="C138" i="4"/>
  <c r="B138" i="4"/>
  <c r="AA137" i="4"/>
  <c r="Z137" i="4"/>
  <c r="X137" i="4"/>
  <c r="W137" i="4"/>
  <c r="V137" i="4"/>
  <c r="U137" i="4"/>
  <c r="T137" i="4"/>
  <c r="Q137" i="4"/>
  <c r="N137" i="4"/>
  <c r="D137" i="4"/>
  <c r="Y137" i="4" s="1"/>
  <c r="C137" i="4"/>
  <c r="B137" i="4"/>
  <c r="AA136" i="4"/>
  <c r="X136" i="4"/>
  <c r="W136" i="4"/>
  <c r="V136" i="4"/>
  <c r="U136" i="4"/>
  <c r="Q136" i="4"/>
  <c r="N136" i="4"/>
  <c r="D136" i="4"/>
  <c r="T136" i="4" s="1"/>
  <c r="C136" i="4"/>
  <c r="B136" i="4"/>
  <c r="AA135" i="4"/>
  <c r="Z135" i="4"/>
  <c r="X135" i="4"/>
  <c r="W135" i="4"/>
  <c r="V135" i="4"/>
  <c r="U135" i="4"/>
  <c r="Q135" i="4"/>
  <c r="N135" i="4"/>
  <c r="D135" i="4"/>
  <c r="C135" i="4"/>
  <c r="B135" i="4"/>
  <c r="AA134" i="4"/>
  <c r="X134" i="4"/>
  <c r="W134" i="4"/>
  <c r="V134" i="4"/>
  <c r="U134" i="4"/>
  <c r="Q134" i="4"/>
  <c r="N134" i="4"/>
  <c r="D134" i="4"/>
  <c r="Z134" i="4" s="1"/>
  <c r="C134" i="4"/>
  <c r="B134" i="4"/>
  <c r="AA133" i="4"/>
  <c r="Z133" i="4"/>
  <c r="Y133" i="4"/>
  <c r="X133" i="4"/>
  <c r="W133" i="4"/>
  <c r="V133" i="4"/>
  <c r="U133" i="4"/>
  <c r="Q133" i="4"/>
  <c r="N133" i="4"/>
  <c r="D133" i="4"/>
  <c r="T133" i="4" s="1"/>
  <c r="C133" i="4"/>
  <c r="B133" i="4"/>
  <c r="AA132" i="4"/>
  <c r="X132" i="4"/>
  <c r="W132" i="4"/>
  <c r="U132" i="4"/>
  <c r="Q132" i="4"/>
  <c r="N132" i="4"/>
  <c r="D132" i="4"/>
  <c r="Z132" i="4" s="1"/>
  <c r="C132" i="4"/>
  <c r="B132" i="4"/>
  <c r="AA131" i="4"/>
  <c r="X131" i="4"/>
  <c r="W131" i="4"/>
  <c r="V131" i="4"/>
  <c r="U131" i="4"/>
  <c r="Q131" i="4"/>
  <c r="N131" i="4"/>
  <c r="D131" i="4"/>
  <c r="T131" i="4" s="1"/>
  <c r="C131" i="4"/>
  <c r="B131" i="4"/>
  <c r="AA130" i="4"/>
  <c r="X130" i="4"/>
  <c r="W130" i="4"/>
  <c r="V130" i="4"/>
  <c r="U130" i="4"/>
  <c r="Q130" i="4"/>
  <c r="N130" i="4"/>
  <c r="D130" i="4"/>
  <c r="C130" i="4"/>
  <c r="B130" i="4"/>
  <c r="AA129" i="4"/>
  <c r="Z129" i="4"/>
  <c r="X129" i="4"/>
  <c r="W129" i="4"/>
  <c r="V129" i="4"/>
  <c r="U129" i="4"/>
  <c r="T129" i="4"/>
  <c r="Q129" i="4"/>
  <c r="N129" i="4"/>
  <c r="D129" i="4"/>
  <c r="Y129" i="4" s="1"/>
  <c r="C129" i="4"/>
  <c r="B129" i="4"/>
  <c r="AA128" i="4"/>
  <c r="Y128" i="4"/>
  <c r="X128" i="4"/>
  <c r="W128" i="4"/>
  <c r="V128" i="4"/>
  <c r="U128" i="4"/>
  <c r="T128" i="4"/>
  <c r="Q128" i="4"/>
  <c r="N128" i="4"/>
  <c r="D128" i="4"/>
  <c r="C128" i="4"/>
  <c r="B128" i="4"/>
  <c r="AA127" i="4"/>
  <c r="Z127" i="4"/>
  <c r="X127" i="4"/>
  <c r="W127" i="4"/>
  <c r="V127" i="4"/>
  <c r="U127" i="4"/>
  <c r="Q127" i="4"/>
  <c r="N127" i="4"/>
  <c r="D127" i="4"/>
  <c r="C127" i="4"/>
  <c r="B127" i="4"/>
  <c r="AA126" i="4"/>
  <c r="Z126" i="4"/>
  <c r="X126" i="4"/>
  <c r="W126" i="4"/>
  <c r="V126" i="4"/>
  <c r="U126" i="4"/>
  <c r="Q126" i="4"/>
  <c r="N126" i="4"/>
  <c r="D126" i="4"/>
  <c r="Y126" i="4" s="1"/>
  <c r="C126" i="4"/>
  <c r="B126" i="4"/>
  <c r="AA125" i="4"/>
  <c r="X125" i="4"/>
  <c r="W125" i="4"/>
  <c r="V125" i="4"/>
  <c r="U125" i="4"/>
  <c r="Q125" i="4"/>
  <c r="N125" i="4"/>
  <c r="D125" i="4"/>
  <c r="C125" i="4"/>
  <c r="B125" i="4"/>
  <c r="AA124" i="4"/>
  <c r="X124" i="4"/>
  <c r="W124" i="4"/>
  <c r="V124" i="4"/>
  <c r="U124" i="4"/>
  <c r="Q124" i="4"/>
  <c r="P124" i="4"/>
  <c r="N124" i="4"/>
  <c r="D124" i="4"/>
  <c r="C124" i="4"/>
  <c r="B124" i="4"/>
  <c r="AA123" i="4"/>
  <c r="X123" i="4"/>
  <c r="W123" i="4"/>
  <c r="V123" i="4"/>
  <c r="U123" i="4"/>
  <c r="Q123" i="4"/>
  <c r="P123" i="4"/>
  <c r="N123" i="4"/>
  <c r="D123" i="4"/>
  <c r="C123" i="4"/>
  <c r="B123" i="4"/>
  <c r="AA122" i="4"/>
  <c r="X122" i="4"/>
  <c r="W122" i="4"/>
  <c r="V122" i="4"/>
  <c r="U122" i="4"/>
  <c r="Q122" i="4"/>
  <c r="P122" i="4"/>
  <c r="N122" i="4"/>
  <c r="D122" i="4"/>
  <c r="C122" i="4"/>
  <c r="B122" i="4"/>
  <c r="AA121" i="4"/>
  <c r="Z121" i="4"/>
  <c r="X121" i="4"/>
  <c r="W121" i="4"/>
  <c r="V121" i="4"/>
  <c r="U121" i="4"/>
  <c r="T121" i="4"/>
  <c r="Q121" i="4"/>
  <c r="P121" i="4"/>
  <c r="N121" i="4"/>
  <c r="D121" i="4"/>
  <c r="Y121" i="4" s="1"/>
  <c r="C121" i="4"/>
  <c r="B121" i="4"/>
  <c r="AA120" i="4"/>
  <c r="X120" i="4"/>
  <c r="W120" i="4"/>
  <c r="V120" i="4"/>
  <c r="U120" i="4"/>
  <c r="Q120" i="4"/>
  <c r="P120" i="4"/>
  <c r="N120" i="4"/>
  <c r="D120" i="4"/>
  <c r="T120" i="4" s="1"/>
  <c r="C120" i="4"/>
  <c r="B120" i="4"/>
  <c r="AA119" i="4"/>
  <c r="X119" i="4"/>
  <c r="W119" i="4"/>
  <c r="V119" i="4"/>
  <c r="U119" i="4"/>
  <c r="Q119" i="4"/>
  <c r="P119" i="4"/>
  <c r="N119" i="4"/>
  <c r="D119" i="4"/>
  <c r="Y119" i="4" s="1"/>
  <c r="C119" i="4"/>
  <c r="B119" i="4"/>
  <c r="AA118" i="4"/>
  <c r="X118" i="4"/>
  <c r="W118" i="4"/>
  <c r="V118" i="4"/>
  <c r="U118" i="4"/>
  <c r="T118" i="4"/>
  <c r="Q118" i="4"/>
  <c r="P118" i="4"/>
  <c r="N118" i="4"/>
  <c r="D118" i="4"/>
  <c r="C118" i="4"/>
  <c r="B118" i="4"/>
  <c r="AA117" i="4"/>
  <c r="X117" i="4"/>
  <c r="W117" i="4"/>
  <c r="V117" i="4"/>
  <c r="U117" i="4"/>
  <c r="Q117" i="4"/>
  <c r="P117" i="4"/>
  <c r="N117" i="4"/>
  <c r="D117" i="4"/>
  <c r="C117" i="4"/>
  <c r="B117" i="4"/>
  <c r="AA116" i="4"/>
  <c r="Y116" i="4"/>
  <c r="X116" i="4"/>
  <c r="W116" i="4"/>
  <c r="V116" i="4"/>
  <c r="U116" i="4"/>
  <c r="Q116" i="4"/>
  <c r="P116" i="4"/>
  <c r="N116" i="4"/>
  <c r="D116" i="4"/>
  <c r="T116" i="4" s="1"/>
  <c r="C116" i="4"/>
  <c r="B116" i="4"/>
  <c r="AA115" i="4"/>
  <c r="X115" i="4"/>
  <c r="W115" i="4"/>
  <c r="V115" i="4"/>
  <c r="U115" i="4"/>
  <c r="Q115" i="4"/>
  <c r="P115" i="4"/>
  <c r="N115" i="4"/>
  <c r="D115" i="4"/>
  <c r="Z115" i="4" s="1"/>
  <c r="C115" i="4"/>
  <c r="B115" i="4"/>
  <c r="AA114" i="4"/>
  <c r="W114" i="4"/>
  <c r="V114" i="4"/>
  <c r="Q114" i="4"/>
  <c r="P114" i="4"/>
  <c r="N114" i="4"/>
  <c r="D114" i="4"/>
  <c r="Y114" i="4" s="1"/>
  <c r="C114" i="4"/>
  <c r="B114" i="4"/>
  <c r="AA113" i="4"/>
  <c r="X113" i="4"/>
  <c r="W113" i="4"/>
  <c r="V113" i="4"/>
  <c r="U113" i="4"/>
  <c r="Q113" i="4"/>
  <c r="P113" i="4"/>
  <c r="N113" i="4"/>
  <c r="D113" i="4"/>
  <c r="Z113" i="4" s="1"/>
  <c r="C113" i="4"/>
  <c r="B113" i="4"/>
  <c r="AA112" i="4"/>
  <c r="X112" i="4"/>
  <c r="W112" i="4"/>
  <c r="V112" i="4"/>
  <c r="U112" i="4"/>
  <c r="Q112" i="4"/>
  <c r="P112" i="4"/>
  <c r="N112" i="4"/>
  <c r="D112" i="4"/>
  <c r="C112" i="4"/>
  <c r="B112" i="4"/>
  <c r="AA111" i="4"/>
  <c r="X111" i="4"/>
  <c r="W111" i="4"/>
  <c r="V111" i="4"/>
  <c r="U111" i="4"/>
  <c r="Q111" i="4"/>
  <c r="P111" i="4"/>
  <c r="N111" i="4"/>
  <c r="D111" i="4"/>
  <c r="Z111" i="4" s="1"/>
  <c r="C111" i="4"/>
  <c r="B111" i="4"/>
  <c r="AA110" i="4"/>
  <c r="X110" i="4"/>
  <c r="W110" i="4"/>
  <c r="V110" i="4"/>
  <c r="U110" i="4"/>
  <c r="Q110" i="4"/>
  <c r="P110" i="4"/>
  <c r="N110" i="4"/>
  <c r="D110" i="4"/>
  <c r="T110" i="4" s="1"/>
  <c r="C110" i="4"/>
  <c r="B110" i="4"/>
  <c r="AA109" i="4"/>
  <c r="Y109" i="4"/>
  <c r="X109" i="4"/>
  <c r="V109" i="4"/>
  <c r="U109" i="4"/>
  <c r="Q109" i="4"/>
  <c r="P109" i="4"/>
  <c r="N109" i="4"/>
  <c r="D109" i="4"/>
  <c r="C109" i="4"/>
  <c r="B109" i="4"/>
  <c r="AA108" i="4"/>
  <c r="X108" i="4"/>
  <c r="W108" i="4"/>
  <c r="V108" i="4"/>
  <c r="U108" i="4"/>
  <c r="Q108" i="4"/>
  <c r="P108" i="4"/>
  <c r="N108" i="4"/>
  <c r="D108" i="4"/>
  <c r="Y108" i="4" s="1"/>
  <c r="C108" i="4"/>
  <c r="B108" i="4"/>
  <c r="AA107" i="4"/>
  <c r="Z107" i="4"/>
  <c r="X107" i="4"/>
  <c r="W107" i="4"/>
  <c r="V107" i="4"/>
  <c r="U107" i="4"/>
  <c r="T107" i="4"/>
  <c r="Q107" i="4"/>
  <c r="P107" i="4"/>
  <c r="N107" i="4"/>
  <c r="D107" i="4"/>
  <c r="C107" i="4"/>
  <c r="B107" i="4"/>
  <c r="AA106" i="4"/>
  <c r="Y106" i="4"/>
  <c r="X106" i="4"/>
  <c r="W106" i="4"/>
  <c r="V106" i="4"/>
  <c r="U106" i="4"/>
  <c r="Q106" i="4"/>
  <c r="P106" i="4"/>
  <c r="N106" i="4"/>
  <c r="D106" i="4"/>
  <c r="T106" i="4" s="1"/>
  <c r="C106" i="4"/>
  <c r="B106" i="4"/>
  <c r="AA105" i="4"/>
  <c r="Z105" i="4"/>
  <c r="X105" i="4"/>
  <c r="W105" i="4"/>
  <c r="V105" i="4"/>
  <c r="U105" i="4"/>
  <c r="Q105" i="4"/>
  <c r="P105" i="4"/>
  <c r="N105" i="4"/>
  <c r="D105" i="4"/>
  <c r="Y105" i="4" s="1"/>
  <c r="C105" i="4"/>
  <c r="B105" i="4"/>
  <c r="AA104" i="4"/>
  <c r="X104" i="4"/>
  <c r="W104" i="4"/>
  <c r="V104" i="4"/>
  <c r="U104" i="4"/>
  <c r="Q104" i="4"/>
  <c r="P104" i="4"/>
  <c r="N104" i="4"/>
  <c r="D104" i="4"/>
  <c r="C104" i="4"/>
  <c r="B104" i="4"/>
  <c r="AA103" i="4"/>
  <c r="Z103" i="4"/>
  <c r="X103" i="4"/>
  <c r="W103" i="4"/>
  <c r="V103" i="4"/>
  <c r="U103" i="4"/>
  <c r="T103" i="4"/>
  <c r="Q103" i="4"/>
  <c r="P103" i="4"/>
  <c r="N103" i="4"/>
  <c r="D103" i="4"/>
  <c r="Y103" i="4" s="1"/>
  <c r="C103" i="4"/>
  <c r="B103" i="4"/>
  <c r="AA102" i="4"/>
  <c r="Z102" i="4"/>
  <c r="Y102" i="4"/>
  <c r="X102" i="4"/>
  <c r="W102" i="4"/>
  <c r="V102" i="4"/>
  <c r="U102" i="4"/>
  <c r="Q102" i="4"/>
  <c r="P102" i="4"/>
  <c r="N102" i="4"/>
  <c r="D102" i="4"/>
  <c r="C102" i="4"/>
  <c r="B102" i="4"/>
  <c r="AA101" i="4"/>
  <c r="Y101" i="4"/>
  <c r="X101" i="4"/>
  <c r="W101" i="4"/>
  <c r="U101" i="4"/>
  <c r="Q101" i="4"/>
  <c r="P101" i="4"/>
  <c r="N101" i="4"/>
  <c r="D101" i="4"/>
  <c r="Z101" i="4" s="1"/>
  <c r="C101" i="4"/>
  <c r="B101" i="4"/>
  <c r="AA100" i="4"/>
  <c r="Y100" i="4"/>
  <c r="X100" i="4"/>
  <c r="W100" i="4"/>
  <c r="V100" i="4"/>
  <c r="U100" i="4"/>
  <c r="T100" i="4"/>
  <c r="Q100" i="4"/>
  <c r="P100" i="4"/>
  <c r="N100" i="4"/>
  <c r="D100" i="4"/>
  <c r="C100" i="4"/>
  <c r="B100" i="4"/>
  <c r="AA99" i="4"/>
  <c r="X99" i="4"/>
  <c r="W99" i="4"/>
  <c r="V99" i="4"/>
  <c r="U99" i="4"/>
  <c r="Q99" i="4"/>
  <c r="P99" i="4"/>
  <c r="N99" i="4"/>
  <c r="D99" i="4"/>
  <c r="Z99" i="4" s="1"/>
  <c r="C99" i="4"/>
  <c r="B99" i="4"/>
  <c r="AA98" i="4"/>
  <c r="X98" i="4"/>
  <c r="W98" i="4"/>
  <c r="V98" i="4"/>
  <c r="U98" i="4"/>
  <c r="Q98" i="4"/>
  <c r="P98" i="4"/>
  <c r="N98" i="4"/>
  <c r="D98" i="4"/>
  <c r="C98" i="4"/>
  <c r="B98" i="4"/>
  <c r="AA97" i="4"/>
  <c r="X97" i="4"/>
  <c r="W97" i="4"/>
  <c r="V97" i="4"/>
  <c r="U97" i="4"/>
  <c r="Q97" i="4"/>
  <c r="P97" i="4"/>
  <c r="N97" i="4"/>
  <c r="D97" i="4"/>
  <c r="T97" i="4" s="1"/>
  <c r="C97" i="4"/>
  <c r="B97" i="4"/>
  <c r="AA96" i="4"/>
  <c r="Z96" i="4"/>
  <c r="X96" i="4"/>
  <c r="W96" i="4"/>
  <c r="V96" i="4"/>
  <c r="U96" i="4"/>
  <c r="Q96" i="4"/>
  <c r="P96" i="4"/>
  <c r="N96" i="4"/>
  <c r="D96" i="4"/>
  <c r="Y96" i="4" s="1"/>
  <c r="C96" i="4"/>
  <c r="B96" i="4"/>
  <c r="AA95" i="4"/>
  <c r="Z95" i="4"/>
  <c r="X95" i="4"/>
  <c r="W95" i="4"/>
  <c r="V95" i="4"/>
  <c r="U95" i="4"/>
  <c r="Q95" i="4"/>
  <c r="P95" i="4"/>
  <c r="N95" i="4"/>
  <c r="D95" i="4"/>
  <c r="Y95" i="4" s="1"/>
  <c r="C95" i="4"/>
  <c r="B95" i="4"/>
  <c r="AA94" i="4"/>
  <c r="X94" i="4"/>
  <c r="W94" i="4"/>
  <c r="V94" i="4"/>
  <c r="U94" i="4"/>
  <c r="Q94" i="4"/>
  <c r="P94" i="4"/>
  <c r="N94" i="4"/>
  <c r="D94" i="4"/>
  <c r="C94" i="4"/>
  <c r="B94" i="4"/>
  <c r="AA93" i="4"/>
  <c r="X93" i="4"/>
  <c r="W93" i="4"/>
  <c r="V93" i="4"/>
  <c r="U93" i="4"/>
  <c r="Q93" i="4"/>
  <c r="P93" i="4"/>
  <c r="N93" i="4"/>
  <c r="D93" i="4"/>
  <c r="Y93" i="4" s="1"/>
  <c r="C93" i="4"/>
  <c r="B93" i="4"/>
  <c r="AA92" i="4"/>
  <c r="X92" i="4"/>
  <c r="W92" i="4"/>
  <c r="V92" i="4"/>
  <c r="U92" i="4"/>
  <c r="Q92" i="4"/>
  <c r="P92" i="4"/>
  <c r="N92" i="4"/>
  <c r="D92" i="4"/>
  <c r="Y92" i="4" s="1"/>
  <c r="C92" i="4"/>
  <c r="B92" i="4"/>
  <c r="AA91" i="4"/>
  <c r="X91" i="4"/>
  <c r="W91" i="4"/>
  <c r="V91" i="4"/>
  <c r="U91" i="4"/>
  <c r="T91" i="4"/>
  <c r="Q91" i="4"/>
  <c r="P91" i="4"/>
  <c r="N91" i="4"/>
  <c r="D91" i="4"/>
  <c r="C91" i="4"/>
  <c r="B91" i="4"/>
  <c r="AA90" i="4"/>
  <c r="X90" i="4"/>
  <c r="W90" i="4"/>
  <c r="V90" i="4"/>
  <c r="U90" i="4"/>
  <c r="Q90" i="4"/>
  <c r="P90" i="4"/>
  <c r="N90" i="4"/>
  <c r="D90" i="4"/>
  <c r="Z90" i="4" s="1"/>
  <c r="C90" i="4"/>
  <c r="B90" i="4"/>
  <c r="AA89" i="4"/>
  <c r="Z89" i="4"/>
  <c r="X89" i="4"/>
  <c r="W89" i="4"/>
  <c r="V89" i="4"/>
  <c r="U89" i="4"/>
  <c r="Q89" i="4"/>
  <c r="P89" i="4"/>
  <c r="N89" i="4"/>
  <c r="D89" i="4"/>
  <c r="Y89" i="4" s="1"/>
  <c r="C89" i="4"/>
  <c r="B89" i="4"/>
  <c r="AA88" i="4"/>
  <c r="Y88" i="4"/>
  <c r="X88" i="4"/>
  <c r="W88" i="4"/>
  <c r="V88" i="4"/>
  <c r="U88" i="4"/>
  <c r="Q88" i="4"/>
  <c r="P88" i="4"/>
  <c r="N88" i="4"/>
  <c r="D88" i="4"/>
  <c r="C88" i="4"/>
  <c r="B88" i="4"/>
  <c r="AA87" i="4"/>
  <c r="X87" i="4"/>
  <c r="W87" i="4"/>
  <c r="V87" i="4"/>
  <c r="U87" i="4"/>
  <c r="T87" i="4"/>
  <c r="Q87" i="4"/>
  <c r="P87" i="4"/>
  <c r="N87" i="4"/>
  <c r="D87" i="4"/>
  <c r="Y87" i="4" s="1"/>
  <c r="C87" i="4"/>
  <c r="B87" i="4"/>
  <c r="AA86" i="4"/>
  <c r="X86" i="4"/>
  <c r="W86" i="4"/>
  <c r="V86" i="4"/>
  <c r="U86" i="4"/>
  <c r="Q86" i="4"/>
  <c r="P86" i="4"/>
  <c r="N86" i="4"/>
  <c r="D86" i="4"/>
  <c r="T86" i="4" s="1"/>
  <c r="C86" i="4"/>
  <c r="B86" i="4"/>
  <c r="AA85" i="4"/>
  <c r="X85" i="4"/>
  <c r="W85" i="4"/>
  <c r="V85" i="4"/>
  <c r="U85" i="4"/>
  <c r="Q85" i="4"/>
  <c r="P85" i="4"/>
  <c r="N85" i="4"/>
  <c r="D85" i="4"/>
  <c r="Y85" i="4" s="1"/>
  <c r="C85" i="4"/>
  <c r="B85" i="4"/>
  <c r="AA84" i="4"/>
  <c r="X84" i="4"/>
  <c r="W84" i="4"/>
  <c r="V84" i="4"/>
  <c r="U84" i="4"/>
  <c r="Q84" i="4"/>
  <c r="P84" i="4"/>
  <c r="N84" i="4"/>
  <c r="D84" i="4"/>
  <c r="T84" i="4" s="1"/>
  <c r="C84" i="4"/>
  <c r="B84" i="4"/>
  <c r="AA83" i="4"/>
  <c r="X83" i="4"/>
  <c r="W83" i="4"/>
  <c r="V83" i="4"/>
  <c r="U83" i="4"/>
  <c r="T83" i="4"/>
  <c r="Q83" i="4"/>
  <c r="P83" i="4"/>
  <c r="N83" i="4"/>
  <c r="D83" i="4"/>
  <c r="C83" i="4"/>
  <c r="B83" i="4"/>
  <c r="AA82" i="4"/>
  <c r="X82" i="4"/>
  <c r="W82" i="4"/>
  <c r="V82" i="4"/>
  <c r="U82" i="4"/>
  <c r="T82" i="4"/>
  <c r="Q82" i="4"/>
  <c r="P82" i="4"/>
  <c r="N82" i="4"/>
  <c r="D82" i="4"/>
  <c r="Y82" i="4" s="1"/>
  <c r="C82" i="4"/>
  <c r="B82" i="4"/>
  <c r="AA81" i="4"/>
  <c r="Y81" i="4"/>
  <c r="X81" i="4"/>
  <c r="W81" i="4"/>
  <c r="V81" i="4"/>
  <c r="U81" i="4"/>
  <c r="Q81" i="4"/>
  <c r="P81" i="4"/>
  <c r="N81" i="4"/>
  <c r="D81" i="4"/>
  <c r="Z81" i="4" s="1"/>
  <c r="C81" i="4"/>
  <c r="B81" i="4"/>
  <c r="AA80" i="4"/>
  <c r="Z80" i="4"/>
  <c r="Y80" i="4"/>
  <c r="X80" i="4"/>
  <c r="W80" i="4"/>
  <c r="V80" i="4"/>
  <c r="U80" i="4"/>
  <c r="Q80" i="4"/>
  <c r="P80" i="4"/>
  <c r="N80" i="4"/>
  <c r="D80" i="4"/>
  <c r="C80" i="4"/>
  <c r="B80" i="4"/>
  <c r="AA79" i="4"/>
  <c r="X79" i="4"/>
  <c r="W79" i="4"/>
  <c r="V79" i="4"/>
  <c r="U79" i="4"/>
  <c r="R79" i="4"/>
  <c r="Q79" i="4"/>
  <c r="P79" i="4"/>
  <c r="N79" i="4"/>
  <c r="D79" i="4"/>
  <c r="Y79" i="4" s="1"/>
  <c r="C79" i="4"/>
  <c r="B79" i="4"/>
  <c r="AA78" i="4"/>
  <c r="X78" i="4"/>
  <c r="W78" i="4"/>
  <c r="V78" i="4"/>
  <c r="U78" i="4"/>
  <c r="R78" i="4"/>
  <c r="Q78" i="4"/>
  <c r="P78" i="4"/>
  <c r="N78" i="4"/>
  <c r="D78" i="4"/>
  <c r="Z78" i="4" s="1"/>
  <c r="C78" i="4"/>
  <c r="B78" i="4"/>
  <c r="AA77" i="4"/>
  <c r="Z77" i="4"/>
  <c r="X77" i="4"/>
  <c r="W77" i="4"/>
  <c r="V77" i="4"/>
  <c r="U77" i="4"/>
  <c r="T77" i="4"/>
  <c r="R77" i="4"/>
  <c r="Q77" i="4"/>
  <c r="P77" i="4"/>
  <c r="N77" i="4"/>
  <c r="D77" i="4"/>
  <c r="Y77" i="4" s="1"/>
  <c r="C77" i="4"/>
  <c r="B77" i="4"/>
  <c r="AA76" i="4"/>
  <c r="X76" i="4"/>
  <c r="W76" i="4"/>
  <c r="V76" i="4"/>
  <c r="U76" i="4"/>
  <c r="R76" i="4"/>
  <c r="Q76" i="4"/>
  <c r="P76" i="4"/>
  <c r="N76" i="4"/>
  <c r="D76" i="4"/>
  <c r="T76" i="4" s="1"/>
  <c r="C76" i="4"/>
  <c r="B76" i="4"/>
  <c r="AA75" i="4"/>
  <c r="Z75" i="4"/>
  <c r="X75" i="4"/>
  <c r="W75" i="4"/>
  <c r="V75" i="4"/>
  <c r="U75" i="4"/>
  <c r="T75" i="4"/>
  <c r="R75" i="4"/>
  <c r="Q75" i="4"/>
  <c r="P75" i="4"/>
  <c r="N75" i="4"/>
  <c r="L75" i="4"/>
  <c r="D75" i="4"/>
  <c r="C75" i="4"/>
  <c r="B75" i="4"/>
  <c r="AA74" i="4"/>
  <c r="X74" i="4"/>
  <c r="W74" i="4"/>
  <c r="V74" i="4"/>
  <c r="U74" i="4"/>
  <c r="R74" i="4"/>
  <c r="Q74" i="4"/>
  <c r="P74" i="4"/>
  <c r="N74" i="4"/>
  <c r="L74" i="4"/>
  <c r="D74" i="4"/>
  <c r="T74" i="4" s="1"/>
  <c r="C74" i="4"/>
  <c r="B74" i="4"/>
  <c r="AA73" i="4"/>
  <c r="X73" i="4"/>
  <c r="W73" i="4"/>
  <c r="V73" i="4"/>
  <c r="U73" i="4"/>
  <c r="R73" i="4"/>
  <c r="Q73" i="4"/>
  <c r="P73" i="4"/>
  <c r="N73" i="4"/>
  <c r="L73" i="4"/>
  <c r="D73" i="4"/>
  <c r="C73" i="4"/>
  <c r="B73" i="4"/>
  <c r="AA72" i="4"/>
  <c r="X72" i="4"/>
  <c r="W72" i="4"/>
  <c r="V72" i="4"/>
  <c r="U72" i="4"/>
  <c r="R72" i="4"/>
  <c r="Q72" i="4"/>
  <c r="P72" i="4"/>
  <c r="N72" i="4"/>
  <c r="L72" i="4"/>
  <c r="D72" i="4"/>
  <c r="Y72" i="4" s="1"/>
  <c r="C72" i="4"/>
  <c r="B72" i="4"/>
  <c r="AA71" i="4"/>
  <c r="Z71" i="4"/>
  <c r="Y71" i="4"/>
  <c r="X71" i="4"/>
  <c r="W71" i="4"/>
  <c r="V71" i="4"/>
  <c r="U71" i="4"/>
  <c r="T71" i="4"/>
  <c r="R71" i="4"/>
  <c r="Q71" i="4"/>
  <c r="P71" i="4"/>
  <c r="N71" i="4"/>
  <c r="L71" i="4"/>
  <c r="D71" i="4"/>
  <c r="C71" i="4"/>
  <c r="B71" i="4"/>
  <c r="AA70" i="4"/>
  <c r="X70" i="4"/>
  <c r="W70" i="4"/>
  <c r="V70" i="4"/>
  <c r="U70" i="4"/>
  <c r="R70" i="4"/>
  <c r="Q70" i="4"/>
  <c r="P70" i="4"/>
  <c r="N70" i="4"/>
  <c r="L70" i="4"/>
  <c r="D70" i="4"/>
  <c r="Y70" i="4" s="1"/>
  <c r="C70" i="4"/>
  <c r="B70" i="4"/>
  <c r="AA69" i="4"/>
  <c r="X69" i="4"/>
  <c r="W69" i="4"/>
  <c r="V69" i="4"/>
  <c r="U69" i="4"/>
  <c r="T69" i="4"/>
  <c r="R69" i="4"/>
  <c r="Q69" i="4"/>
  <c r="P69" i="4"/>
  <c r="N69" i="4"/>
  <c r="L69" i="4"/>
  <c r="K69" i="4"/>
  <c r="D69" i="4"/>
  <c r="C69" i="4"/>
  <c r="B69" i="4"/>
  <c r="AA68" i="4"/>
  <c r="Z68" i="4"/>
  <c r="X68" i="4"/>
  <c r="W68" i="4"/>
  <c r="V68" i="4"/>
  <c r="U68" i="4"/>
  <c r="R68" i="4"/>
  <c r="Q68" i="4"/>
  <c r="P68" i="4"/>
  <c r="N68" i="4"/>
  <c r="L68" i="4"/>
  <c r="K68" i="4"/>
  <c r="D68" i="4"/>
  <c r="C68" i="4"/>
  <c r="B68" i="4"/>
  <c r="AA67" i="4"/>
  <c r="Z67" i="4"/>
  <c r="Y67" i="4"/>
  <c r="X67" i="4"/>
  <c r="W67" i="4"/>
  <c r="V67" i="4"/>
  <c r="U67" i="4"/>
  <c r="T67" i="4"/>
  <c r="R67" i="4"/>
  <c r="Q67" i="4"/>
  <c r="P67" i="4"/>
  <c r="N67" i="4"/>
  <c r="L67" i="4"/>
  <c r="K67" i="4"/>
  <c r="D67" i="4"/>
  <c r="C67" i="4"/>
  <c r="B67" i="4"/>
  <c r="AA66" i="4"/>
  <c r="X66" i="4"/>
  <c r="W66" i="4"/>
  <c r="V66" i="4"/>
  <c r="U66" i="4"/>
  <c r="R66" i="4"/>
  <c r="Q66" i="4"/>
  <c r="P66" i="4"/>
  <c r="N66" i="4"/>
  <c r="L66" i="4"/>
  <c r="K66" i="4"/>
  <c r="D66" i="4"/>
  <c r="Z66" i="4" s="1"/>
  <c r="C66" i="4"/>
  <c r="B66" i="4"/>
  <c r="AA65" i="4"/>
  <c r="Y65" i="4"/>
  <c r="X65" i="4"/>
  <c r="W65" i="4"/>
  <c r="V65" i="4"/>
  <c r="U65" i="4"/>
  <c r="R65" i="4"/>
  <c r="Q65" i="4"/>
  <c r="P65" i="4"/>
  <c r="N65" i="4"/>
  <c r="L65" i="4"/>
  <c r="K65" i="4"/>
  <c r="D65" i="4"/>
  <c r="Z65" i="4" s="1"/>
  <c r="C65" i="4"/>
  <c r="B65" i="4"/>
  <c r="B62" i="4"/>
  <c r="E49" i="4"/>
  <c r="D49" i="4"/>
  <c r="C49" i="4"/>
  <c r="E47" i="4"/>
  <c r="Z140" i="4" s="1"/>
  <c r="D47" i="4"/>
  <c r="C47" i="4"/>
  <c r="D46" i="4"/>
  <c r="D40" i="4"/>
  <c r="D56" i="4" s="1"/>
  <c r="C40" i="4"/>
  <c r="D39" i="4"/>
  <c r="I7" i="4"/>
  <c r="I6" i="4"/>
  <c r="M84" i="4" s="1"/>
  <c r="B85" i="3"/>
  <c r="C73" i="3"/>
  <c r="N64" i="3"/>
  <c r="M64" i="3"/>
  <c r="L64" i="3"/>
  <c r="K64" i="3"/>
  <c r="J64" i="3"/>
  <c r="I64" i="3"/>
  <c r="H64" i="3"/>
  <c r="G64" i="3"/>
  <c r="F64" i="3"/>
  <c r="E64" i="3"/>
  <c r="E46" i="4" s="1"/>
  <c r="Y135" i="4" s="1"/>
  <c r="D64" i="3"/>
  <c r="C64" i="3"/>
  <c r="N61" i="3"/>
  <c r="M61" i="3"/>
  <c r="L61" i="3"/>
  <c r="K61" i="3"/>
  <c r="J61" i="3"/>
  <c r="I61" i="3"/>
  <c r="H61" i="3"/>
  <c r="G61" i="3"/>
  <c r="F61" i="3"/>
  <c r="E61" i="3"/>
  <c r="D61" i="3"/>
  <c r="C61" i="3"/>
  <c r="C62" i="3" s="1"/>
  <c r="N60" i="3"/>
  <c r="M60" i="3"/>
  <c r="L60" i="3"/>
  <c r="K60" i="3"/>
  <c r="J60" i="3"/>
  <c r="I60" i="3"/>
  <c r="H60" i="3"/>
  <c r="G60" i="3"/>
  <c r="F60" i="3"/>
  <c r="E60" i="3"/>
  <c r="E44" i="4" s="1"/>
  <c r="D60" i="3"/>
  <c r="D44" i="4" s="1"/>
  <c r="C60" i="3"/>
  <c r="N57" i="3"/>
  <c r="M57" i="3"/>
  <c r="L57" i="3"/>
  <c r="L58" i="3" s="1"/>
  <c r="K57" i="3"/>
  <c r="J57" i="3"/>
  <c r="I57" i="3"/>
  <c r="I58" i="3" s="1"/>
  <c r="H57" i="3"/>
  <c r="H58" i="3" s="1"/>
  <c r="G57" i="3"/>
  <c r="F57" i="3"/>
  <c r="E57" i="3"/>
  <c r="D57" i="3"/>
  <c r="C57" i="3"/>
  <c r="G56" i="3"/>
  <c r="I54" i="3"/>
  <c r="P53" i="3"/>
  <c r="N53" i="3"/>
  <c r="N58" i="3" s="1"/>
  <c r="M53" i="3"/>
  <c r="L53" i="3"/>
  <c r="L55" i="3" s="1"/>
  <c r="K53" i="3"/>
  <c r="J53" i="3"/>
  <c r="I53" i="3"/>
  <c r="I71" i="3" s="1"/>
  <c r="H53" i="3"/>
  <c r="H71" i="3" s="1"/>
  <c r="G53" i="3"/>
  <c r="F53" i="3"/>
  <c r="E53" i="3"/>
  <c r="D53" i="3"/>
  <c r="D71" i="3" s="1"/>
  <c r="C53" i="3"/>
  <c r="N52" i="3"/>
  <c r="M52" i="3"/>
  <c r="L52" i="3"/>
  <c r="K52" i="3"/>
  <c r="J52" i="3"/>
  <c r="I52" i="3"/>
  <c r="I56" i="3" s="1"/>
  <c r="H52" i="3"/>
  <c r="H56" i="3" s="1"/>
  <c r="G52" i="3"/>
  <c r="G55" i="3" s="1"/>
  <c r="F52" i="3"/>
  <c r="E52" i="3"/>
  <c r="E40" i="4" s="1"/>
  <c r="D52" i="3"/>
  <c r="C52" i="3"/>
  <c r="B6" i="6" s="1"/>
  <c r="P51" i="3"/>
  <c r="N51" i="3"/>
  <c r="M51" i="3"/>
  <c r="L51" i="3"/>
  <c r="L56" i="3" s="1"/>
  <c r="K51" i="3"/>
  <c r="K55" i="3" s="1"/>
  <c r="J51" i="3"/>
  <c r="I51" i="3"/>
  <c r="H51" i="3"/>
  <c r="H55" i="3" s="1"/>
  <c r="H59" i="3" s="1"/>
  <c r="G51" i="3"/>
  <c r="F51" i="3"/>
  <c r="E51" i="3"/>
  <c r="E39" i="4" s="1"/>
  <c r="D51" i="3"/>
  <c r="C51" i="3"/>
  <c r="R46" i="3"/>
  <c r="R51" i="3" s="1"/>
  <c r="Q46" i="3"/>
  <c r="Q52" i="3" s="1"/>
  <c r="P46" i="3"/>
  <c r="P52" i="3" s="1"/>
  <c r="B42" i="3"/>
  <c r="B41" i="3"/>
  <c r="B40" i="3"/>
  <c r="B43" i="3" s="1"/>
  <c r="L59" i="3" l="1"/>
  <c r="K56" i="3"/>
  <c r="F87" i="4"/>
  <c r="L98" i="4" s="1"/>
  <c r="M72" i="4"/>
  <c r="Z72" i="4"/>
  <c r="M101" i="4"/>
  <c r="Z116" i="4"/>
  <c r="P56" i="3"/>
  <c r="Q53" i="3"/>
  <c r="Y90" i="4"/>
  <c r="T92" i="4"/>
  <c r="T96" i="4"/>
  <c r="Z106" i="4"/>
  <c r="Y111" i="4"/>
  <c r="T119" i="4"/>
  <c r="T126" i="4"/>
  <c r="Y136" i="4"/>
  <c r="T139" i="4"/>
  <c r="T149" i="4"/>
  <c r="B19" i="6"/>
  <c r="Q51" i="3"/>
  <c r="Q56" i="3" s="1"/>
  <c r="K71" i="3"/>
  <c r="H54" i="3"/>
  <c r="O57" i="3"/>
  <c r="M58" i="3"/>
  <c r="Y66" i="4"/>
  <c r="M77" i="4"/>
  <c r="M79" i="4"/>
  <c r="T81" i="4"/>
  <c r="Z82" i="4"/>
  <c r="M86" i="4"/>
  <c r="Z87" i="4"/>
  <c r="M90" i="4"/>
  <c r="M93" i="4"/>
  <c r="Z136" i="4"/>
  <c r="Y147" i="4"/>
  <c r="I12" i="5"/>
  <c r="E58" i="3"/>
  <c r="E43" i="4" s="1"/>
  <c r="J132" i="4" s="1"/>
  <c r="S132" i="4" s="1"/>
  <c r="Z92" i="4"/>
  <c r="Z119" i="4"/>
  <c r="M65" i="4"/>
  <c r="M68" i="4"/>
  <c r="AB68" i="4" s="1"/>
  <c r="M78" i="4"/>
  <c r="E108" i="4"/>
  <c r="M67" i="4"/>
  <c r="AB67" i="4" s="1"/>
  <c r="M74" i="4"/>
  <c r="G54" i="3"/>
  <c r="L71" i="3"/>
  <c r="M82" i="4"/>
  <c r="K54" i="3"/>
  <c r="C58" i="3"/>
  <c r="B20" i="6" s="1"/>
  <c r="B22" i="6" s="1"/>
  <c r="M75" i="4"/>
  <c r="Y132" i="4"/>
  <c r="F58" i="3"/>
  <c r="M69" i="4"/>
  <c r="AB69" i="4" s="1"/>
  <c r="T72" i="4"/>
  <c r="Y113" i="4"/>
  <c r="Z109" i="4"/>
  <c r="T90" i="4"/>
  <c r="O64" i="3"/>
  <c r="B5" i="6"/>
  <c r="C39" i="4"/>
  <c r="C55" i="3"/>
  <c r="O51" i="3"/>
  <c r="C56" i="3"/>
  <c r="C54" i="3"/>
  <c r="M55" i="3"/>
  <c r="M59" i="3" s="1"/>
  <c r="M54" i="3"/>
  <c r="M56" i="3"/>
  <c r="J67" i="3" s="1"/>
  <c r="F67" i="3"/>
  <c r="E71" i="3"/>
  <c r="E41" i="4"/>
  <c r="O53" i="3"/>
  <c r="F54" i="3"/>
  <c r="F56" i="3"/>
  <c r="F71" i="3"/>
  <c r="F55" i="3"/>
  <c r="C43" i="4"/>
  <c r="J89" i="4" s="1"/>
  <c r="S89" i="4" s="1"/>
  <c r="E129" i="4"/>
  <c r="E139" i="4"/>
  <c r="E135" i="4"/>
  <c r="E149" i="4"/>
  <c r="E146" i="4"/>
  <c r="E153" i="4"/>
  <c r="E151" i="4"/>
  <c r="E137" i="4"/>
  <c r="E133" i="4"/>
  <c r="E141" i="4"/>
  <c r="E147" i="4"/>
  <c r="E136" i="4"/>
  <c r="E144" i="4"/>
  <c r="E142" i="4"/>
  <c r="E148" i="4"/>
  <c r="E128" i="4"/>
  <c r="E131" i="4"/>
  <c r="E132" i="4"/>
  <c r="E126" i="4"/>
  <c r="E134" i="4"/>
  <c r="J55" i="3"/>
  <c r="J59" i="3" s="1"/>
  <c r="J54" i="3"/>
  <c r="J58" i="3"/>
  <c r="J71" i="3"/>
  <c r="C63" i="3"/>
  <c r="D62" i="3"/>
  <c r="C66" i="3"/>
  <c r="O89" i="4"/>
  <c r="Y94" i="4"/>
  <c r="G21" i="5" s="1"/>
  <c r="F94" i="4"/>
  <c r="L105" i="4" s="1"/>
  <c r="E113" i="4"/>
  <c r="D58" i="3"/>
  <c r="D43" i="4" s="1"/>
  <c r="J112" i="4" s="1"/>
  <c r="S112" i="4" s="1"/>
  <c r="F116" i="4"/>
  <c r="L127" i="4" s="1"/>
  <c r="F109" i="4"/>
  <c r="L120" i="4" s="1"/>
  <c r="F103" i="4"/>
  <c r="L114" i="4" s="1"/>
  <c r="F119" i="4"/>
  <c r="L130" i="4" s="1"/>
  <c r="F121" i="4"/>
  <c r="L132" i="4" s="1"/>
  <c r="F114" i="4"/>
  <c r="L125" i="4" s="1"/>
  <c r="F100" i="4"/>
  <c r="L111" i="4" s="1"/>
  <c r="F107" i="4"/>
  <c r="L118" i="4" s="1"/>
  <c r="F106" i="4"/>
  <c r="L117" i="4" s="1"/>
  <c r="F105" i="4"/>
  <c r="L116" i="4" s="1"/>
  <c r="F102" i="4"/>
  <c r="L113" i="4" s="1"/>
  <c r="O77" i="4"/>
  <c r="O80" i="4"/>
  <c r="O81" i="4"/>
  <c r="E106" i="4"/>
  <c r="E121" i="4"/>
  <c r="G71" i="3"/>
  <c r="N54" i="3"/>
  <c r="N55" i="3"/>
  <c r="N59" i="3" s="1"/>
  <c r="D41" i="4"/>
  <c r="G99" i="4" s="1"/>
  <c r="M144" i="4" s="1"/>
  <c r="C46" i="4"/>
  <c r="Y74" i="4" s="1"/>
  <c r="T65" i="4"/>
  <c r="O66" i="4"/>
  <c r="F68" i="4"/>
  <c r="L79" i="4" s="1"/>
  <c r="Y91" i="4"/>
  <c r="G91" i="4"/>
  <c r="M136" i="4" s="1"/>
  <c r="F91" i="4"/>
  <c r="L102" i="4" s="1"/>
  <c r="Z91" i="4"/>
  <c r="F96" i="4"/>
  <c r="L107" i="4" s="1"/>
  <c r="I55" i="3"/>
  <c r="I59" i="3" s="1"/>
  <c r="N56" i="3"/>
  <c r="K67" i="3" s="1"/>
  <c r="O61" i="3"/>
  <c r="N71" i="3"/>
  <c r="AB65" i="4"/>
  <c r="F70" i="4"/>
  <c r="L81" i="4" s="1"/>
  <c r="E8" i="5" s="1"/>
  <c r="M73" i="4"/>
  <c r="O88" i="4"/>
  <c r="O94" i="4"/>
  <c r="O98" i="4"/>
  <c r="E100" i="4"/>
  <c r="E119" i="4"/>
  <c r="F92" i="4"/>
  <c r="L103" i="4" s="1"/>
  <c r="F90" i="4"/>
  <c r="L101" i="4" s="1"/>
  <c r="F77" i="4"/>
  <c r="L88" i="4" s="1"/>
  <c r="F71" i="4"/>
  <c r="L82" i="4" s="1"/>
  <c r="E109" i="4"/>
  <c r="G58" i="3"/>
  <c r="G59" i="3" s="1"/>
  <c r="Y68" i="4"/>
  <c r="T68" i="4"/>
  <c r="Z70" i="4"/>
  <c r="O79" i="4"/>
  <c r="Z94" i="4"/>
  <c r="E103" i="4"/>
  <c r="K113" i="4" s="1"/>
  <c r="J56" i="3"/>
  <c r="G67" i="3" s="1"/>
  <c r="D54" i="3"/>
  <c r="D48" i="4" s="1"/>
  <c r="D54" i="4" s="1"/>
  <c r="D55" i="3"/>
  <c r="Z69" i="4"/>
  <c r="F69" i="4"/>
  <c r="L80" i="4" s="1"/>
  <c r="O69" i="4"/>
  <c r="Y69" i="4"/>
  <c r="C21" i="5" s="1"/>
  <c r="F75" i="4"/>
  <c r="L86" i="4" s="1"/>
  <c r="Y83" i="4"/>
  <c r="J83" i="4"/>
  <c r="S83" i="4" s="1"/>
  <c r="G83" i="4"/>
  <c r="M128" i="4" s="1"/>
  <c r="F83" i="4"/>
  <c r="L94" i="4" s="1"/>
  <c r="Z83" i="4"/>
  <c r="O85" i="4"/>
  <c r="E102" i="4"/>
  <c r="E105" i="4"/>
  <c r="Y110" i="4"/>
  <c r="F110" i="4"/>
  <c r="L121" i="4" s="1"/>
  <c r="Z110" i="4"/>
  <c r="O52" i="3"/>
  <c r="K58" i="3"/>
  <c r="K59" i="3" s="1"/>
  <c r="T70" i="4"/>
  <c r="F72" i="4"/>
  <c r="L83" i="4" s="1"/>
  <c r="Z79" i="4"/>
  <c r="F79" i="4"/>
  <c r="L90" i="4" s="1"/>
  <c r="T79" i="4"/>
  <c r="T80" i="4"/>
  <c r="T99" i="4"/>
  <c r="J99" i="4"/>
  <c r="S99" i="4" s="1"/>
  <c r="Y99" i="4"/>
  <c r="F99" i="4"/>
  <c r="L110" i="4" s="1"/>
  <c r="E99" i="4"/>
  <c r="E110" i="4"/>
  <c r="T112" i="4"/>
  <c r="E112" i="4"/>
  <c r="Z112" i="4"/>
  <c r="Y112" i="4"/>
  <c r="F65" i="4"/>
  <c r="L76" i="4" s="1"/>
  <c r="D8" i="5" s="1"/>
  <c r="O70" i="4"/>
  <c r="F149" i="4"/>
  <c r="F126" i="4"/>
  <c r="L137" i="4" s="1"/>
  <c r="F153" i="4"/>
  <c r="F140" i="4"/>
  <c r="L151" i="4" s="1"/>
  <c r="F137" i="4"/>
  <c r="L148" i="4" s="1"/>
  <c r="F146" i="4"/>
  <c r="F139" i="4"/>
  <c r="L150" i="4" s="1"/>
  <c r="F135" i="4"/>
  <c r="L146" i="4" s="1"/>
  <c r="F147" i="4"/>
  <c r="F143" i="4"/>
  <c r="L154" i="4" s="1"/>
  <c r="F148" i="4"/>
  <c r="F155" i="4"/>
  <c r="F133" i="4"/>
  <c r="L144" i="4" s="1"/>
  <c r="F136" i="4"/>
  <c r="L147" i="4" s="1"/>
  <c r="F130" i="4"/>
  <c r="L141" i="4" s="1"/>
  <c r="F129" i="4"/>
  <c r="L140" i="4" s="1"/>
  <c r="E54" i="3"/>
  <c r="E48" i="4" s="1"/>
  <c r="E55" i="3"/>
  <c r="D56" i="3"/>
  <c r="R52" i="3"/>
  <c r="R53" i="3"/>
  <c r="L54" i="3"/>
  <c r="E56" i="3"/>
  <c r="M105" i="4"/>
  <c r="M95" i="4"/>
  <c r="M107" i="4"/>
  <c r="M154" i="4"/>
  <c r="M108" i="4"/>
  <c r="M102" i="4"/>
  <c r="M99" i="4"/>
  <c r="M106" i="4"/>
  <c r="M100" i="4"/>
  <c r="M91" i="4"/>
  <c r="M97" i="4"/>
  <c r="M92" i="4"/>
  <c r="M103" i="4"/>
  <c r="M76" i="4"/>
  <c r="D9" i="5" s="1"/>
  <c r="M66" i="4"/>
  <c r="C9" i="5" s="1"/>
  <c r="M98" i="4"/>
  <c r="M88" i="4"/>
  <c r="M94" i="4"/>
  <c r="M87" i="4"/>
  <c r="M80" i="4"/>
  <c r="M70" i="4"/>
  <c r="M81" i="4"/>
  <c r="M71" i="4"/>
  <c r="M85" i="4"/>
  <c r="M109" i="4"/>
  <c r="M104" i="4"/>
  <c r="M96" i="4"/>
  <c r="M89" i="4"/>
  <c r="M83" i="4"/>
  <c r="C56" i="4"/>
  <c r="F66" i="4"/>
  <c r="L77" i="4" s="1"/>
  <c r="T66" i="4"/>
  <c r="O67" i="4"/>
  <c r="J70" i="4"/>
  <c r="S70" i="4" s="1"/>
  <c r="O74" i="4"/>
  <c r="Z76" i="4"/>
  <c r="F76" i="4"/>
  <c r="L87" i="4" s="1"/>
  <c r="Y76" i="4"/>
  <c r="Y78" i="4"/>
  <c r="T78" i="4"/>
  <c r="E80" i="4"/>
  <c r="O87" i="4"/>
  <c r="F89" i="4"/>
  <c r="L100" i="4" s="1"/>
  <c r="H8" i="5" s="1"/>
  <c r="F95" i="4"/>
  <c r="L106" i="4" s="1"/>
  <c r="O96" i="4"/>
  <c r="F112" i="4"/>
  <c r="L123" i="4" s="1"/>
  <c r="J117" i="4"/>
  <c r="S117" i="4" s="1"/>
  <c r="T122" i="4"/>
  <c r="J122" i="4"/>
  <c r="S122" i="4" s="1"/>
  <c r="G122" i="4"/>
  <c r="F122" i="4"/>
  <c r="L133" i="4" s="1"/>
  <c r="Z122" i="4"/>
  <c r="Y122" i="4"/>
  <c r="K21" i="5" s="1"/>
  <c r="E122" i="4"/>
  <c r="O107" i="4"/>
  <c r="O97" i="4"/>
  <c r="O106" i="4"/>
  <c r="O100" i="4"/>
  <c r="O103" i="4"/>
  <c r="O83" i="4"/>
  <c r="O109" i="4"/>
  <c r="O84" i="4"/>
  <c r="O78" i="4"/>
  <c r="O68" i="4"/>
  <c r="O95" i="4"/>
  <c r="G11" i="5" s="1"/>
  <c r="O90" i="4"/>
  <c r="O101" i="4"/>
  <c r="O93" i="4"/>
  <c r="O91" i="4"/>
  <c r="O82" i="4"/>
  <c r="O72" i="4"/>
  <c r="O73" i="4"/>
  <c r="O104" i="4"/>
  <c r="O86" i="4"/>
  <c r="O75" i="4"/>
  <c r="O108" i="4"/>
  <c r="O92" i="4"/>
  <c r="O76" i="4"/>
  <c r="O71" i="4"/>
  <c r="T73" i="4"/>
  <c r="Z73" i="4"/>
  <c r="D22" i="5" s="1"/>
  <c r="F73" i="4"/>
  <c r="L84" i="4" s="1"/>
  <c r="Y73" i="4"/>
  <c r="E73" i="4"/>
  <c r="F78" i="4"/>
  <c r="L89" i="4" s="1"/>
  <c r="F80" i="4"/>
  <c r="L91" i="4" s="1"/>
  <c r="F81" i="4"/>
  <c r="L92" i="4" s="1"/>
  <c r="F82" i="4"/>
  <c r="L93" i="4" s="1"/>
  <c r="F86" i="4"/>
  <c r="L97" i="4" s="1"/>
  <c r="Z86" i="4"/>
  <c r="Y86" i="4"/>
  <c r="F21" i="5" s="1"/>
  <c r="O102" i="4"/>
  <c r="H11" i="5" s="1"/>
  <c r="O105" i="4"/>
  <c r="J120" i="4"/>
  <c r="S120" i="4" s="1"/>
  <c r="F120" i="4"/>
  <c r="L131" i="4" s="1"/>
  <c r="E120" i="4"/>
  <c r="Z120" i="4"/>
  <c r="Y120" i="4"/>
  <c r="G23" i="5"/>
  <c r="K22" i="5"/>
  <c r="I20" i="5"/>
  <c r="C19" i="5"/>
  <c r="G18" i="5"/>
  <c r="K17" i="5"/>
  <c r="C14" i="5"/>
  <c r="G13" i="5"/>
  <c r="H23" i="5"/>
  <c r="E20" i="5"/>
  <c r="H19" i="5"/>
  <c r="K18" i="5"/>
  <c r="C17" i="5"/>
  <c r="N13" i="5"/>
  <c r="C13" i="5"/>
  <c r="F12" i="5"/>
  <c r="N10" i="5"/>
  <c r="D10" i="5"/>
  <c r="E23" i="5"/>
  <c r="C20" i="5"/>
  <c r="F19" i="5"/>
  <c r="I18" i="5"/>
  <c r="L17" i="5"/>
  <c r="L13" i="5"/>
  <c r="D12" i="5"/>
  <c r="L10" i="5"/>
  <c r="F9" i="5"/>
  <c r="F23" i="5"/>
  <c r="G20" i="5"/>
  <c r="G19" i="5"/>
  <c r="F18" i="5"/>
  <c r="G17" i="5"/>
  <c r="H13" i="5"/>
  <c r="H12" i="5"/>
  <c r="J10" i="5"/>
  <c r="D23" i="5"/>
  <c r="O19" i="5"/>
  <c r="N18" i="5"/>
  <c r="M17" i="5"/>
  <c r="F13" i="5"/>
  <c r="E12" i="5"/>
  <c r="F10" i="5"/>
  <c r="C23" i="5"/>
  <c r="C22" i="5"/>
  <c r="O20" i="5"/>
  <c r="N19" i="5"/>
  <c r="M18" i="5"/>
  <c r="E13" i="5"/>
  <c r="C12" i="5"/>
  <c r="D11" i="5"/>
  <c r="E10" i="5"/>
  <c r="M20" i="5"/>
  <c r="L19" i="5"/>
  <c r="I17" i="5"/>
  <c r="D13" i="5"/>
  <c r="C10" i="5"/>
  <c r="N23" i="5"/>
  <c r="K20" i="5"/>
  <c r="J19" i="5"/>
  <c r="F17" i="5"/>
  <c r="O10" i="5"/>
  <c r="M23" i="5"/>
  <c r="E18" i="5"/>
  <c r="E17" i="5"/>
  <c r="O13" i="5"/>
  <c r="M10" i="5"/>
  <c r="L23" i="5"/>
  <c r="H20" i="5"/>
  <c r="E19" i="5"/>
  <c r="D18" i="5"/>
  <c r="D17" i="5"/>
  <c r="M13" i="5"/>
  <c r="K10" i="5"/>
  <c r="D20" i="5"/>
  <c r="H17" i="5"/>
  <c r="K19" i="5"/>
  <c r="D14" i="5"/>
  <c r="D19" i="5"/>
  <c r="K13" i="5"/>
  <c r="C18" i="5"/>
  <c r="H10" i="5"/>
  <c r="J13" i="5"/>
  <c r="G10" i="5"/>
  <c r="O17" i="5"/>
  <c r="I13" i="5"/>
  <c r="L20" i="5"/>
  <c r="J12" i="5"/>
  <c r="K23" i="5"/>
  <c r="G12" i="5"/>
  <c r="J23" i="5"/>
  <c r="C8" i="5"/>
  <c r="O23" i="5"/>
  <c r="I23" i="5"/>
  <c r="I10" i="5"/>
  <c r="F20" i="5"/>
  <c r="O18" i="5"/>
  <c r="J18" i="5"/>
  <c r="O65" i="4"/>
  <c r="B7" i="6"/>
  <c r="C41" i="4"/>
  <c r="G80" i="4" s="1"/>
  <c r="M125" i="4" s="1"/>
  <c r="C71" i="3"/>
  <c r="F104" i="4"/>
  <c r="L115" i="4" s="1"/>
  <c r="Z104" i="4"/>
  <c r="E104" i="4"/>
  <c r="T104" i="4"/>
  <c r="G104" i="4"/>
  <c r="M149" i="4" s="1"/>
  <c r="Y104" i="4"/>
  <c r="H21" i="5" s="1"/>
  <c r="F115" i="4"/>
  <c r="L126" i="4" s="1"/>
  <c r="M71" i="3"/>
  <c r="E118" i="4"/>
  <c r="E116" i="4"/>
  <c r="E96" i="4"/>
  <c r="E124" i="4"/>
  <c r="E123" i="4"/>
  <c r="O60" i="3"/>
  <c r="C44" i="4"/>
  <c r="F67" i="4"/>
  <c r="L78" i="4" s="1"/>
  <c r="G85" i="4"/>
  <c r="M130" i="4" s="1"/>
  <c r="Z85" i="4"/>
  <c r="F85" i="4"/>
  <c r="L96" i="4" s="1"/>
  <c r="T85" i="4"/>
  <c r="E16" i="5" s="1"/>
  <c r="J85" i="4"/>
  <c r="S85" i="4" s="1"/>
  <c r="F88" i="4"/>
  <c r="L99" i="4" s="1"/>
  <c r="Z98" i="4"/>
  <c r="F98" i="4"/>
  <c r="L109" i="4" s="1"/>
  <c r="T98" i="4"/>
  <c r="J98" i="4"/>
  <c r="S98" i="4" s="1"/>
  <c r="G98" i="4"/>
  <c r="M143" i="4" s="1"/>
  <c r="Y98" i="4"/>
  <c r="E98" i="4"/>
  <c r="O99" i="4"/>
  <c r="J104" i="4"/>
  <c r="S104" i="4" s="1"/>
  <c r="T88" i="4"/>
  <c r="J95" i="4"/>
  <c r="S95" i="4" s="1"/>
  <c r="T95" i="4"/>
  <c r="Y97" i="4"/>
  <c r="E97" i="4"/>
  <c r="F97" i="4"/>
  <c r="L108" i="4" s="1"/>
  <c r="I8" i="5" s="1"/>
  <c r="Z97" i="4"/>
  <c r="J115" i="4"/>
  <c r="S115" i="4" s="1"/>
  <c r="F123" i="4"/>
  <c r="L134" i="4" s="1"/>
  <c r="Y123" i="4"/>
  <c r="J123" i="4"/>
  <c r="S123" i="4" s="1"/>
  <c r="T124" i="4"/>
  <c r="F124" i="4"/>
  <c r="L135" i="4" s="1"/>
  <c r="M8" i="5" s="1"/>
  <c r="G124" i="4"/>
  <c r="Z125" i="4"/>
  <c r="E125" i="4"/>
  <c r="T125" i="4"/>
  <c r="F125" i="4"/>
  <c r="L136" i="4" s="1"/>
  <c r="Y130" i="4"/>
  <c r="L21" i="5" s="1"/>
  <c r="E130" i="4"/>
  <c r="Z130" i="4"/>
  <c r="G130" i="4"/>
  <c r="E75" i="4"/>
  <c r="Y75" i="4"/>
  <c r="D21" i="5" s="1"/>
  <c r="J87" i="4"/>
  <c r="S87" i="4" s="1"/>
  <c r="E88" i="4"/>
  <c r="E95" i="4"/>
  <c r="G123" i="4"/>
  <c r="J124" i="4"/>
  <c r="S124" i="4" s="1"/>
  <c r="G95" i="4"/>
  <c r="M140" i="4" s="1"/>
  <c r="Y124" i="4"/>
  <c r="J125" i="4"/>
  <c r="S125" i="4" s="1"/>
  <c r="Y125" i="4"/>
  <c r="Y127" i="4"/>
  <c r="E127" i="4"/>
  <c r="T127" i="4"/>
  <c r="F127" i="4"/>
  <c r="L138" i="4" s="1"/>
  <c r="G127" i="4"/>
  <c r="F74" i="4"/>
  <c r="L85" i="4" s="1"/>
  <c r="Z74" i="4"/>
  <c r="G75" i="4"/>
  <c r="M120" i="4" s="1"/>
  <c r="T89" i="4"/>
  <c r="E72" i="4"/>
  <c r="E82" i="4"/>
  <c r="J97" i="4"/>
  <c r="S97" i="4" s="1"/>
  <c r="Z108" i="4"/>
  <c r="I22" i="5" s="1"/>
  <c r="F108" i="4"/>
  <c r="L119" i="4" s="1"/>
  <c r="G108" i="4"/>
  <c r="M153" i="4" s="1"/>
  <c r="T108" i="4"/>
  <c r="I16" i="5" s="1"/>
  <c r="J108" i="4"/>
  <c r="S108" i="4" s="1"/>
  <c r="F113" i="4"/>
  <c r="L124" i="4" s="1"/>
  <c r="J113" i="4"/>
  <c r="S113" i="4" s="1"/>
  <c r="T113" i="4"/>
  <c r="Z123" i="4"/>
  <c r="Z124" i="4"/>
  <c r="Z138" i="4"/>
  <c r="M22" i="5" s="1"/>
  <c r="E138" i="4"/>
  <c r="G138" i="4"/>
  <c r="Y138" i="4"/>
  <c r="M21" i="5" s="1"/>
  <c r="T101" i="4"/>
  <c r="F101" i="4"/>
  <c r="L112" i="4" s="1"/>
  <c r="E101" i="4"/>
  <c r="Y117" i="4"/>
  <c r="E117" i="4"/>
  <c r="Z117" i="4"/>
  <c r="F138" i="4"/>
  <c r="L149" i="4" s="1"/>
  <c r="F93" i="4"/>
  <c r="L104" i="4" s="1"/>
  <c r="Z93" i="4"/>
  <c r="E93" i="4"/>
  <c r="G115" i="4"/>
  <c r="Y115" i="4"/>
  <c r="T115" i="4"/>
  <c r="Z84" i="4"/>
  <c r="F84" i="4"/>
  <c r="L95" i="4" s="1"/>
  <c r="G8" i="5" s="1"/>
  <c r="Y84" i="4"/>
  <c r="E21" i="5" s="1"/>
  <c r="E87" i="4"/>
  <c r="Z88" i="4"/>
  <c r="F22" i="5" s="1"/>
  <c r="T93" i="4"/>
  <c r="G101" i="4"/>
  <c r="M146" i="4" s="1"/>
  <c r="T102" i="4"/>
  <c r="J102" i="4"/>
  <c r="S102" i="4" s="1"/>
  <c r="T105" i="4"/>
  <c r="J105" i="4"/>
  <c r="S105" i="4" s="1"/>
  <c r="G105" i="4"/>
  <c r="M150" i="4" s="1"/>
  <c r="E115" i="4"/>
  <c r="F117" i="4"/>
  <c r="L128" i="4" s="1"/>
  <c r="T117" i="4"/>
  <c r="T130" i="4"/>
  <c r="B21" i="6"/>
  <c r="B24" i="6" s="1"/>
  <c r="E111" i="4"/>
  <c r="G111" i="4"/>
  <c r="T145" i="4"/>
  <c r="F145" i="4"/>
  <c r="Y145" i="4"/>
  <c r="G145" i="4"/>
  <c r="E145" i="4"/>
  <c r="Y107" i="4"/>
  <c r="E107" i="4"/>
  <c r="G109" i="4"/>
  <c r="T109" i="4"/>
  <c r="J109" i="4"/>
  <c r="S109" i="4" s="1"/>
  <c r="F111" i="4"/>
  <c r="L122" i="4" s="1"/>
  <c r="T111" i="4"/>
  <c r="Z145" i="4"/>
  <c r="Z100" i="4"/>
  <c r="H22" i="5" s="1"/>
  <c r="Z114" i="4"/>
  <c r="E114" i="4"/>
  <c r="T114" i="4"/>
  <c r="J16" i="5" s="1"/>
  <c r="Z144" i="4"/>
  <c r="T144" i="4"/>
  <c r="G144" i="4"/>
  <c r="Y144" i="4"/>
  <c r="F144" i="4"/>
  <c r="L155" i="4" s="1"/>
  <c r="T143" i="4"/>
  <c r="N16" i="5" s="1"/>
  <c r="G143" i="4"/>
  <c r="Y143" i="4"/>
  <c r="N21" i="5" s="1"/>
  <c r="E143" i="4"/>
  <c r="G154" i="4"/>
  <c r="Z154" i="4"/>
  <c r="Y154" i="4"/>
  <c r="T154" i="4"/>
  <c r="F154" i="4"/>
  <c r="Y134" i="4"/>
  <c r="T134" i="4"/>
  <c r="G134" i="4"/>
  <c r="F134" i="4"/>
  <c r="L145" i="4" s="1"/>
  <c r="Z143" i="4"/>
  <c r="E154" i="4"/>
  <c r="Y140" i="4"/>
  <c r="E140" i="4"/>
  <c r="T140" i="4"/>
  <c r="G132" i="4"/>
  <c r="Z141" i="4"/>
  <c r="F141" i="4"/>
  <c r="L152" i="4" s="1"/>
  <c r="J141" i="4"/>
  <c r="S141" i="4" s="1"/>
  <c r="G152" i="4"/>
  <c r="Z152" i="4"/>
  <c r="E152" i="4"/>
  <c r="T152" i="4"/>
  <c r="F152" i="4"/>
  <c r="G119" i="4"/>
  <c r="F128" i="4"/>
  <c r="L139" i="4" s="1"/>
  <c r="Z128" i="4"/>
  <c r="F132" i="4"/>
  <c r="L143" i="4" s="1"/>
  <c r="N8" i="5" s="1"/>
  <c r="T132" i="4"/>
  <c r="L16" i="5" s="1"/>
  <c r="G141" i="4"/>
  <c r="G147" i="4"/>
  <c r="Y150" i="4"/>
  <c r="O21" i="5" s="1"/>
  <c r="E150" i="4"/>
  <c r="F150" i="4"/>
  <c r="Z150" i="4"/>
  <c r="Y152" i="4"/>
  <c r="G155" i="4"/>
  <c r="E155" i="4"/>
  <c r="Y155" i="4"/>
  <c r="Z118" i="4"/>
  <c r="F118" i="4"/>
  <c r="L129" i="4" s="1"/>
  <c r="Y118" i="4"/>
  <c r="Z131" i="4"/>
  <c r="F131" i="4"/>
  <c r="L142" i="4" s="1"/>
  <c r="Y131" i="4"/>
  <c r="T135" i="4"/>
  <c r="M16" i="5" s="1"/>
  <c r="G135" i="4"/>
  <c r="G142" i="4"/>
  <c r="F142" i="4"/>
  <c r="L153" i="4" s="1"/>
  <c r="Z142" i="4"/>
  <c r="Z146" i="4"/>
  <c r="Z151" i="4"/>
  <c r="F151" i="4"/>
  <c r="Z153" i="4"/>
  <c r="T153" i="4"/>
  <c r="G153" i="4"/>
  <c r="E59" i="3" l="1"/>
  <c r="J144" i="4"/>
  <c r="S144" i="4" s="1"/>
  <c r="L22" i="5"/>
  <c r="J134" i="4"/>
  <c r="S134" i="4" s="1"/>
  <c r="J22" i="5"/>
  <c r="G22" i="5"/>
  <c r="J130" i="4"/>
  <c r="S130" i="4" s="1"/>
  <c r="J93" i="4"/>
  <c r="S93" i="4" s="1"/>
  <c r="AB66" i="4"/>
  <c r="J73" i="4"/>
  <c r="S73" i="4" s="1"/>
  <c r="C16" i="5"/>
  <c r="H9" i="5"/>
  <c r="O8" i="5"/>
  <c r="G112" i="4"/>
  <c r="J80" i="4"/>
  <c r="S80" i="4" s="1"/>
  <c r="K8" i="5"/>
  <c r="J94" i="4"/>
  <c r="J128" i="4"/>
  <c r="S128" i="4" s="1"/>
  <c r="J149" i="4"/>
  <c r="S149" i="4" s="1"/>
  <c r="AC73" i="4"/>
  <c r="I21" i="5"/>
  <c r="J152" i="4"/>
  <c r="S152" i="4" s="1"/>
  <c r="J88" i="4"/>
  <c r="S88" i="4" s="1"/>
  <c r="AC88" i="4" s="1"/>
  <c r="AC65" i="4"/>
  <c r="D16" i="5"/>
  <c r="J78" i="4"/>
  <c r="S78" i="4" s="1"/>
  <c r="G110" i="4"/>
  <c r="M155" i="4" s="1"/>
  <c r="F59" i="3"/>
  <c r="J126" i="4"/>
  <c r="S126" i="4" s="1"/>
  <c r="J131" i="4"/>
  <c r="S131" i="4" s="1"/>
  <c r="J133" i="4"/>
  <c r="S133" i="4" s="1"/>
  <c r="J137" i="4"/>
  <c r="S137" i="4" s="1"/>
  <c r="J140" i="4"/>
  <c r="S140" i="4" s="1"/>
  <c r="H16" i="5"/>
  <c r="J146" i="4"/>
  <c r="S146" i="4" s="1"/>
  <c r="O22" i="5"/>
  <c r="L8" i="5"/>
  <c r="N22" i="5"/>
  <c r="J127" i="4"/>
  <c r="S127" i="4" s="1"/>
  <c r="J86" i="4"/>
  <c r="S86" i="4" s="1"/>
  <c r="G73" i="4"/>
  <c r="M118" i="4" s="1"/>
  <c r="G120" i="4"/>
  <c r="I120" i="4" s="1"/>
  <c r="R135" i="4" s="1"/>
  <c r="E9" i="5"/>
  <c r="J68" i="4"/>
  <c r="S68" i="4" s="1"/>
  <c r="AC68" i="4" s="1"/>
  <c r="AD68" i="4" s="1"/>
  <c r="J65" i="4"/>
  <c r="S65" i="4" s="1"/>
  <c r="J129" i="4"/>
  <c r="S129" i="4" s="1"/>
  <c r="J151" i="4"/>
  <c r="S151" i="4" s="1"/>
  <c r="J147" i="4"/>
  <c r="S147" i="4" s="1"/>
  <c r="J142" i="4"/>
  <c r="S142" i="4" s="1"/>
  <c r="J143" i="4"/>
  <c r="S143" i="4" s="1"/>
  <c r="J154" i="4"/>
  <c r="S154" i="4" s="1"/>
  <c r="G65" i="4"/>
  <c r="M110" i="4" s="1"/>
  <c r="F8" i="5"/>
  <c r="P8" i="5" s="1"/>
  <c r="G9" i="5"/>
  <c r="J91" i="4"/>
  <c r="S91" i="4" s="1"/>
  <c r="J136" i="4"/>
  <c r="S136" i="4" s="1"/>
  <c r="J153" i="4"/>
  <c r="S153" i="4" s="1"/>
  <c r="J150" i="4"/>
  <c r="S150" i="4" s="1"/>
  <c r="J145" i="4"/>
  <c r="S145" i="4" s="1"/>
  <c r="J139" i="4"/>
  <c r="S139" i="4" s="1"/>
  <c r="J148" i="4"/>
  <c r="S148" i="4" s="1"/>
  <c r="H67" i="3"/>
  <c r="J155" i="4"/>
  <c r="S155" i="4" s="1"/>
  <c r="J138" i="4"/>
  <c r="S138" i="4" s="1"/>
  <c r="J135" i="4"/>
  <c r="S135" i="4" s="1"/>
  <c r="J21" i="5"/>
  <c r="F16" i="5"/>
  <c r="E22" i="5"/>
  <c r="J8" i="5"/>
  <c r="F11" i="5"/>
  <c r="R56" i="3"/>
  <c r="N67" i="3" s="1"/>
  <c r="P21" i="5"/>
  <c r="K145" i="4"/>
  <c r="K132" i="4"/>
  <c r="I127" i="4"/>
  <c r="R142" i="4" s="1"/>
  <c r="D66" i="3"/>
  <c r="E62" i="3"/>
  <c r="D63" i="3"/>
  <c r="D45" i="4" s="1"/>
  <c r="K131" i="4"/>
  <c r="AB131" i="4" s="1"/>
  <c r="C59" i="3"/>
  <c r="O55" i="3"/>
  <c r="P23" i="5"/>
  <c r="K105" i="4"/>
  <c r="AB105" i="4" s="1"/>
  <c r="K118" i="4"/>
  <c r="AB118" i="4" s="1"/>
  <c r="C45" i="4"/>
  <c r="K137" i="4"/>
  <c r="I132" i="4"/>
  <c r="R147" i="4" s="1"/>
  <c r="K142" i="4"/>
  <c r="G68" i="4"/>
  <c r="M113" i="4" s="1"/>
  <c r="AB113" i="4" s="1"/>
  <c r="E92" i="4"/>
  <c r="E74" i="4"/>
  <c r="E71" i="4"/>
  <c r="E67" i="4"/>
  <c r="K77" i="4" s="1"/>
  <c r="AB77" i="4" s="1"/>
  <c r="AD77" i="4" s="1"/>
  <c r="E90" i="4"/>
  <c r="E81" i="4"/>
  <c r="E77" i="4"/>
  <c r="E85" i="4"/>
  <c r="E84" i="4"/>
  <c r="I155" i="4"/>
  <c r="K155" i="4"/>
  <c r="K112" i="4"/>
  <c r="I107" i="4"/>
  <c r="R122" i="4" s="1"/>
  <c r="B27" i="6"/>
  <c r="I123" i="4"/>
  <c r="R138" i="4" s="1"/>
  <c r="K128" i="4"/>
  <c r="I104" i="4"/>
  <c r="R119" i="4" s="1"/>
  <c r="K109" i="4"/>
  <c r="AB109" i="4" s="1"/>
  <c r="E79" i="4"/>
  <c r="J110" i="4"/>
  <c r="S110" i="4" s="1"/>
  <c r="E83" i="4"/>
  <c r="E68" i="4"/>
  <c r="K78" i="4" s="1"/>
  <c r="AB78" i="4" s="1"/>
  <c r="M67" i="3"/>
  <c r="E70" i="4"/>
  <c r="K80" i="4" s="1"/>
  <c r="AB80" i="4" s="1"/>
  <c r="K126" i="4"/>
  <c r="E94" i="4"/>
  <c r="K136" i="4"/>
  <c r="AB136" i="4" s="1"/>
  <c r="I131" i="4"/>
  <c r="R146" i="4" s="1"/>
  <c r="B8" i="6"/>
  <c r="B18" i="6"/>
  <c r="C10" i="9" s="1"/>
  <c r="B15" i="6"/>
  <c r="B23" i="6" s="1"/>
  <c r="B25" i="6" s="1"/>
  <c r="C11" i="9" s="1"/>
  <c r="I95" i="4"/>
  <c r="R110" i="4" s="1"/>
  <c r="K100" i="4"/>
  <c r="I73" i="4"/>
  <c r="R88" i="4" s="1"/>
  <c r="K85" i="4"/>
  <c r="AB85" i="4" s="1"/>
  <c r="I80" i="4"/>
  <c r="R95" i="4" s="1"/>
  <c r="AC95" i="4" s="1"/>
  <c r="I154" i="4"/>
  <c r="K143" i="4"/>
  <c r="AB143" i="4" s="1"/>
  <c r="I138" i="4"/>
  <c r="R153" i="4" s="1"/>
  <c r="K130" i="4"/>
  <c r="AB130" i="4" s="1"/>
  <c r="G87" i="4"/>
  <c r="M132" i="4" s="1"/>
  <c r="I124" i="4"/>
  <c r="R139" i="4" s="1"/>
  <c r="K129" i="4"/>
  <c r="P13" i="5"/>
  <c r="E86" i="4"/>
  <c r="AC78" i="4"/>
  <c r="G78" i="4"/>
  <c r="M123" i="4" s="1"/>
  <c r="D59" i="3"/>
  <c r="K111" i="4"/>
  <c r="K133" i="4"/>
  <c r="I153" i="4"/>
  <c r="K120" i="4"/>
  <c r="AB120" i="4" s="1"/>
  <c r="I115" i="4"/>
  <c r="R130" i="4" s="1"/>
  <c r="I111" i="4"/>
  <c r="R126" i="4" s="1"/>
  <c r="K116" i="4"/>
  <c r="I145" i="4"/>
  <c r="K150" i="4"/>
  <c r="AB150" i="4" s="1"/>
  <c r="D67" i="3"/>
  <c r="K117" i="4"/>
  <c r="I112" i="4"/>
  <c r="R127" i="4" s="1"/>
  <c r="E91" i="4"/>
  <c r="K101" i="4" s="1"/>
  <c r="AB101" i="4" s="1"/>
  <c r="K153" i="4"/>
  <c r="AB153" i="4" s="1"/>
  <c r="K151" i="4"/>
  <c r="E67" i="3"/>
  <c r="L67" i="3"/>
  <c r="I108" i="4"/>
  <c r="R123" i="4" s="1"/>
  <c r="I143" i="4"/>
  <c r="K148" i="4"/>
  <c r="P22" i="5"/>
  <c r="K122" i="4"/>
  <c r="I117" i="4"/>
  <c r="R132" i="4" s="1"/>
  <c r="I75" i="4"/>
  <c r="R90" i="4" s="1"/>
  <c r="I152" i="4"/>
  <c r="E89" i="4"/>
  <c r="G88" i="4"/>
  <c r="M133" i="4" s="1"/>
  <c r="E65" i="4"/>
  <c r="I116" i="4"/>
  <c r="R131" i="4" s="1"/>
  <c r="K121" i="4"/>
  <c r="K125" i="4"/>
  <c r="AB125" i="4" s="1"/>
  <c r="G86" i="4"/>
  <c r="M131" i="4" s="1"/>
  <c r="I122" i="4"/>
  <c r="R137" i="4" s="1"/>
  <c r="K127" i="4"/>
  <c r="E69" i="4"/>
  <c r="I105" i="4"/>
  <c r="R120" i="4" s="1"/>
  <c r="K110" i="4"/>
  <c r="AB110" i="4" s="1"/>
  <c r="I67" i="3"/>
  <c r="I109" i="4"/>
  <c r="R124" i="4" s="1"/>
  <c r="K114" i="4"/>
  <c r="G94" i="4"/>
  <c r="M139" i="4" s="1"/>
  <c r="K147" i="4"/>
  <c r="I142" i="4"/>
  <c r="K154" i="4"/>
  <c r="AB154" i="4" s="1"/>
  <c r="K138" i="4"/>
  <c r="I133" i="4"/>
  <c r="R148" i="4" s="1"/>
  <c r="I101" i="4"/>
  <c r="R116" i="4" s="1"/>
  <c r="K106" i="4"/>
  <c r="AB106" i="4" s="1"/>
  <c r="K102" i="4"/>
  <c r="AB102" i="4" s="1"/>
  <c r="K103" i="4"/>
  <c r="AB103" i="4" s="1"/>
  <c r="I98" i="4"/>
  <c r="R113" i="4" s="1"/>
  <c r="K123" i="4"/>
  <c r="G74" i="4"/>
  <c r="M119" i="4" s="1"/>
  <c r="P10" i="5"/>
  <c r="E11" i="5"/>
  <c r="G69" i="4"/>
  <c r="M114" i="4" s="1"/>
  <c r="E66" i="4"/>
  <c r="I102" i="4"/>
  <c r="R117" i="4" s="1"/>
  <c r="K107" i="4"/>
  <c r="K108" i="4"/>
  <c r="AB108" i="4" s="1"/>
  <c r="AC77" i="4"/>
  <c r="I144" i="4"/>
  <c r="K149" i="4"/>
  <c r="K140" i="4"/>
  <c r="AB140" i="4" s="1"/>
  <c r="I135" i="4"/>
  <c r="R150" i="4" s="1"/>
  <c r="K124" i="4"/>
  <c r="I119" i="4"/>
  <c r="R134" i="4" s="1"/>
  <c r="G93" i="4"/>
  <c r="M138" i="4" s="1"/>
  <c r="K98" i="4"/>
  <c r="AB98" i="4" s="1"/>
  <c r="K87" i="4"/>
  <c r="AB87" i="4" s="1"/>
  <c r="C11" i="5"/>
  <c r="AC71" i="4"/>
  <c r="E78" i="4"/>
  <c r="AC70" i="4"/>
  <c r="K115" i="4"/>
  <c r="I110" i="4"/>
  <c r="R125" i="4" s="1"/>
  <c r="G70" i="4"/>
  <c r="M115" i="4" s="1"/>
  <c r="S94" i="4"/>
  <c r="K141" i="4"/>
  <c r="K144" i="4"/>
  <c r="AB144" i="4" s="1"/>
  <c r="C48" i="4"/>
  <c r="C54" i="4" s="1"/>
  <c r="O54" i="3"/>
  <c r="B78" i="3" s="1"/>
  <c r="C4" i="9" s="1"/>
  <c r="C67" i="3"/>
  <c r="C68" i="3" s="1"/>
  <c r="K104" i="4"/>
  <c r="AB104" i="4" s="1"/>
  <c r="I99" i="4"/>
  <c r="R114" i="4" s="1"/>
  <c r="G118" i="4"/>
  <c r="I118" i="4" s="1"/>
  <c r="R133" i="4" s="1"/>
  <c r="G116" i="4"/>
  <c r="G107" i="4"/>
  <c r="M152" i="4" s="1"/>
  <c r="G121" i="4"/>
  <c r="I121" i="4" s="1"/>
  <c r="R136" i="4" s="1"/>
  <c r="G114" i="4"/>
  <c r="G100" i="4"/>
  <c r="M145" i="4" s="1"/>
  <c r="G103" i="4"/>
  <c r="M148" i="4" s="1"/>
  <c r="G125" i="4"/>
  <c r="I125" i="4" s="1"/>
  <c r="R140" i="4" s="1"/>
  <c r="G106" i="4"/>
  <c r="M151" i="4" s="1"/>
  <c r="O9" i="5" s="1"/>
  <c r="G102" i="4"/>
  <c r="M147" i="4" s="1"/>
  <c r="G97" i="4"/>
  <c r="M142" i="4" s="1"/>
  <c r="G117" i="4"/>
  <c r="G96" i="4"/>
  <c r="M141" i="4" s="1"/>
  <c r="G113" i="4"/>
  <c r="I113" i="4" s="1"/>
  <c r="R128" i="4" s="1"/>
  <c r="K152" i="4"/>
  <c r="I147" i="4"/>
  <c r="K134" i="4"/>
  <c r="G139" i="4"/>
  <c r="I139" i="4" s="1"/>
  <c r="R154" i="4" s="1"/>
  <c r="G126" i="4"/>
  <c r="I126" i="4" s="1"/>
  <c r="R141" i="4" s="1"/>
  <c r="G146" i="4"/>
  <c r="I146" i="4" s="1"/>
  <c r="G151" i="4"/>
  <c r="I151" i="4" s="1"/>
  <c r="G131" i="4"/>
  <c r="G136" i="4"/>
  <c r="I136" i="4" s="1"/>
  <c r="R151" i="4" s="1"/>
  <c r="G148" i="4"/>
  <c r="I148" i="4" s="1"/>
  <c r="G149" i="4"/>
  <c r="I149" i="4" s="1"/>
  <c r="G150" i="4"/>
  <c r="I150" i="4" s="1"/>
  <c r="G137" i="4"/>
  <c r="I137" i="4" s="1"/>
  <c r="R152" i="4" s="1"/>
  <c r="G140" i="4"/>
  <c r="I140" i="4" s="1"/>
  <c r="R155" i="4" s="1"/>
  <c r="G129" i="4"/>
  <c r="I129" i="4" s="1"/>
  <c r="R144" i="4" s="1"/>
  <c r="G128" i="4"/>
  <c r="I128" i="4" s="1"/>
  <c r="R143" i="4" s="1"/>
  <c r="G133" i="4"/>
  <c r="O56" i="3"/>
  <c r="I72" i="4"/>
  <c r="R87" i="4" s="1"/>
  <c r="AC87" i="4" s="1"/>
  <c r="I114" i="4"/>
  <c r="R129" i="4" s="1"/>
  <c r="K119" i="4"/>
  <c r="AB119" i="4" s="1"/>
  <c r="I87" i="4"/>
  <c r="R102" i="4" s="1"/>
  <c r="AC102" i="4" s="1"/>
  <c r="K92" i="4"/>
  <c r="AB92" i="4" s="1"/>
  <c r="K135" i="4"/>
  <c r="I130" i="4"/>
  <c r="R145" i="4" s="1"/>
  <c r="G81" i="4"/>
  <c r="M126" i="4" s="1"/>
  <c r="G92" i="4"/>
  <c r="M137" i="4" s="1"/>
  <c r="G90" i="4"/>
  <c r="M135" i="4" s="1"/>
  <c r="M9" i="5" s="1"/>
  <c r="G77" i="4"/>
  <c r="M122" i="4" s="1"/>
  <c r="G84" i="4"/>
  <c r="M129" i="4" s="1"/>
  <c r="G66" i="4"/>
  <c r="M111" i="4" s="1"/>
  <c r="G82" i="4"/>
  <c r="M127" i="4" s="1"/>
  <c r="G89" i="4"/>
  <c r="M134" i="4" s="1"/>
  <c r="G79" i="4"/>
  <c r="M124" i="4" s="1"/>
  <c r="G76" i="4"/>
  <c r="M121" i="4" s="1"/>
  <c r="G72" i="4"/>
  <c r="M117" i="4" s="1"/>
  <c r="G67" i="4"/>
  <c r="M112" i="4" s="1"/>
  <c r="G71" i="4"/>
  <c r="M116" i="4" s="1"/>
  <c r="E76" i="4"/>
  <c r="AD65" i="4"/>
  <c r="J118" i="4"/>
  <c r="S118" i="4" s="1"/>
  <c r="J111" i="4"/>
  <c r="S111" i="4" s="1"/>
  <c r="J119" i="4"/>
  <c r="S119" i="4" s="1"/>
  <c r="J107" i="4"/>
  <c r="S107" i="4" s="1"/>
  <c r="J106" i="4"/>
  <c r="S106" i="4" s="1"/>
  <c r="J121" i="4"/>
  <c r="S121" i="4" s="1"/>
  <c r="K15" i="5" s="1"/>
  <c r="J116" i="4"/>
  <c r="S116" i="4" s="1"/>
  <c r="J114" i="4"/>
  <c r="S114" i="4" s="1"/>
  <c r="J100" i="4"/>
  <c r="S100" i="4" s="1"/>
  <c r="J101" i="4"/>
  <c r="S101" i="4" s="1"/>
  <c r="J96" i="4"/>
  <c r="S96" i="4" s="1"/>
  <c r="J103" i="4"/>
  <c r="S103" i="4" s="1"/>
  <c r="I134" i="4"/>
  <c r="R149" i="4" s="1"/>
  <c r="K139" i="4"/>
  <c r="K146" i="4"/>
  <c r="AB146" i="4" s="1"/>
  <c r="I141" i="4"/>
  <c r="J90" i="4"/>
  <c r="S90" i="4" s="1"/>
  <c r="J77" i="4"/>
  <c r="S77" i="4" s="1"/>
  <c r="J67" i="4"/>
  <c r="S67" i="4" s="1"/>
  <c r="AC67" i="4" s="1"/>
  <c r="AD67" i="4" s="1"/>
  <c r="J84" i="4"/>
  <c r="S84" i="4" s="1"/>
  <c r="J81" i="4"/>
  <c r="S81" i="4" s="1"/>
  <c r="J82" i="4"/>
  <c r="S82" i="4" s="1"/>
  <c r="J69" i="4"/>
  <c r="S69" i="4" s="1"/>
  <c r="AC69" i="4" s="1"/>
  <c r="AD69" i="4" s="1"/>
  <c r="J72" i="4"/>
  <c r="S72" i="4" s="1"/>
  <c r="AC72" i="4" s="1"/>
  <c r="J66" i="4"/>
  <c r="S66" i="4" s="1"/>
  <c r="J79" i="4"/>
  <c r="S79" i="4" s="1"/>
  <c r="J76" i="4"/>
  <c r="S76" i="4" s="1"/>
  <c r="AC76" i="4" s="1"/>
  <c r="J75" i="4"/>
  <c r="S75" i="4" s="1"/>
  <c r="AC75" i="4" s="1"/>
  <c r="J71" i="4"/>
  <c r="S71" i="4" s="1"/>
  <c r="J74" i="4"/>
  <c r="S74" i="4" s="1"/>
  <c r="AC74" i="4" s="1"/>
  <c r="J92" i="4"/>
  <c r="S92" i="4" s="1"/>
  <c r="O58" i="3"/>
  <c r="F15" i="5" l="1"/>
  <c r="N15" i="5"/>
  <c r="C15" i="5"/>
  <c r="G15" i="5"/>
  <c r="E15" i="5"/>
  <c r="P15" i="5" s="1"/>
  <c r="N9" i="5"/>
  <c r="AC90" i="4"/>
  <c r="AB151" i="4"/>
  <c r="L15" i="5"/>
  <c r="I93" i="4"/>
  <c r="R108" i="4" s="1"/>
  <c r="AC108" i="4" s="1"/>
  <c r="AB129" i="4"/>
  <c r="M15" i="5"/>
  <c r="AB132" i="4"/>
  <c r="AB111" i="4"/>
  <c r="AB138" i="4"/>
  <c r="O15" i="5"/>
  <c r="J15" i="5"/>
  <c r="D65" i="3"/>
  <c r="B17" i="6"/>
  <c r="AB155" i="4"/>
  <c r="C69" i="3"/>
  <c r="D68" i="3" s="1"/>
  <c r="C70" i="3"/>
  <c r="C42" i="4"/>
  <c r="W109" i="4"/>
  <c r="I19" i="5" s="1"/>
  <c r="P19" i="5" s="1"/>
  <c r="X114" i="4"/>
  <c r="J20" i="5" s="1"/>
  <c r="P20" i="5" s="1"/>
  <c r="V101" i="4"/>
  <c r="H18" i="5" s="1"/>
  <c r="T94" i="4"/>
  <c r="G16" i="5" s="1"/>
  <c r="I9" i="5"/>
  <c r="I103" i="4"/>
  <c r="R118" i="4" s="1"/>
  <c r="AB112" i="4"/>
  <c r="L14" i="5"/>
  <c r="AB145" i="4"/>
  <c r="K83" i="4"/>
  <c r="AB83" i="4" s="1"/>
  <c r="I78" i="4"/>
  <c r="R93" i="4" s="1"/>
  <c r="AD108" i="4"/>
  <c r="AB148" i="4"/>
  <c r="K99" i="4"/>
  <c r="AB99" i="4" s="1"/>
  <c r="I94" i="4"/>
  <c r="R109" i="4" s="1"/>
  <c r="K84" i="4"/>
  <c r="AB84" i="4" s="1"/>
  <c r="I79" i="4"/>
  <c r="R94" i="4" s="1"/>
  <c r="K79" i="4"/>
  <c r="I74" i="4"/>
  <c r="R89" i="4" s="1"/>
  <c r="AC89" i="4" s="1"/>
  <c r="V132" i="4"/>
  <c r="L18" i="5" s="1"/>
  <c r="W140" i="4"/>
  <c r="M19" i="5" s="1"/>
  <c r="X145" i="4"/>
  <c r="N20" i="5" s="1"/>
  <c r="T123" i="4"/>
  <c r="K16" i="5" s="1"/>
  <c r="I83" i="4"/>
  <c r="R98" i="4" s="1"/>
  <c r="AC98" i="4" s="1"/>
  <c r="K88" i="4"/>
  <c r="AB88" i="4" s="1"/>
  <c r="AD88" i="4" s="1"/>
  <c r="I67" i="4"/>
  <c r="R82" i="4" s="1"/>
  <c r="AC82" i="4" s="1"/>
  <c r="K72" i="4"/>
  <c r="AB152" i="4"/>
  <c r="AB141" i="4"/>
  <c r="I89" i="4"/>
  <c r="R104" i="4" s="1"/>
  <c r="AC104" i="4" s="1"/>
  <c r="AD104" i="4" s="1"/>
  <c r="K94" i="4"/>
  <c r="AB94" i="4" s="1"/>
  <c r="K76" i="4"/>
  <c r="AB76" i="4" s="1"/>
  <c r="AD76" i="4" s="1"/>
  <c r="I71" i="4"/>
  <c r="R86" i="4" s="1"/>
  <c r="H15" i="5"/>
  <c r="K9" i="5"/>
  <c r="AB107" i="4"/>
  <c r="I7" i="5"/>
  <c r="AB123" i="4"/>
  <c r="M14" i="5"/>
  <c r="AB100" i="4"/>
  <c r="H7" i="5"/>
  <c r="H24" i="5" s="1"/>
  <c r="AB126" i="4"/>
  <c r="K97" i="4"/>
  <c r="AB97" i="4" s="1"/>
  <c r="I92" i="4"/>
  <c r="R107" i="4" s="1"/>
  <c r="I100" i="4"/>
  <c r="R115" i="4" s="1"/>
  <c r="F62" i="3"/>
  <c r="E66" i="3"/>
  <c r="E63" i="3"/>
  <c r="AD98" i="4"/>
  <c r="AB135" i="4"/>
  <c r="M7" i="5"/>
  <c r="M24" i="5" s="1"/>
  <c r="AB124" i="4"/>
  <c r="I96" i="4"/>
  <c r="R111" i="4" s="1"/>
  <c r="AC66" i="4"/>
  <c r="AD66" i="4" s="1"/>
  <c r="AB133" i="4"/>
  <c r="I86" i="4"/>
  <c r="R101" i="4" s="1"/>
  <c r="K91" i="4"/>
  <c r="AB91" i="4" s="1"/>
  <c r="I76" i="4"/>
  <c r="R91" i="4" s="1"/>
  <c r="AC91" i="4" s="1"/>
  <c r="K81" i="4"/>
  <c r="AB81" i="4" s="1"/>
  <c r="C25" i="5"/>
  <c r="I66" i="4"/>
  <c r="R81" i="4" s="1"/>
  <c r="AC81" i="4" s="1"/>
  <c r="K71" i="4"/>
  <c r="AB71" i="4" s="1"/>
  <c r="AD71" i="4" s="1"/>
  <c r="AB147" i="4"/>
  <c r="K74" i="4"/>
  <c r="AB74" i="4" s="1"/>
  <c r="AD74" i="4" s="1"/>
  <c r="I69" i="4"/>
  <c r="R84" i="4" s="1"/>
  <c r="AC84" i="4" s="1"/>
  <c r="K96" i="4"/>
  <c r="AB96" i="4" s="1"/>
  <c r="I91" i="4"/>
  <c r="R106" i="4" s="1"/>
  <c r="AC106" i="4" s="1"/>
  <c r="I106" i="4"/>
  <c r="R121" i="4" s="1"/>
  <c r="K14" i="5" s="1"/>
  <c r="K75" i="4"/>
  <c r="AB75" i="4" s="1"/>
  <c r="AD75" i="4" s="1"/>
  <c r="I70" i="4"/>
  <c r="R85" i="4" s="1"/>
  <c r="AC85" i="4" s="1"/>
  <c r="AD85" i="4" s="1"/>
  <c r="K89" i="4"/>
  <c r="AB89" i="4" s="1"/>
  <c r="AD89" i="4" s="1"/>
  <c r="I84" i="4"/>
  <c r="R99" i="4" s="1"/>
  <c r="AC99" i="4" s="1"/>
  <c r="D10" i="9"/>
  <c r="E10" i="9"/>
  <c r="K90" i="4"/>
  <c r="AB90" i="4" s="1"/>
  <c r="AD90" i="4" s="1"/>
  <c r="I85" i="4"/>
  <c r="R100" i="4" s="1"/>
  <c r="AC79" i="4"/>
  <c r="D4" i="9"/>
  <c r="E4" i="9" s="1"/>
  <c r="AD102" i="4"/>
  <c r="B26" i="6"/>
  <c r="AB128" i="4"/>
  <c r="L7" i="5"/>
  <c r="I77" i="4"/>
  <c r="R92" i="4" s="1"/>
  <c r="AC92" i="4" s="1"/>
  <c r="AD92" i="4" s="1"/>
  <c r="K82" i="4"/>
  <c r="AB82" i="4" s="1"/>
  <c r="AD82" i="4" s="1"/>
  <c r="K93" i="4"/>
  <c r="I97" i="4"/>
  <c r="R112" i="4" s="1"/>
  <c r="L9" i="5"/>
  <c r="AB149" i="4"/>
  <c r="O7" i="5"/>
  <c r="O24" i="5" s="1"/>
  <c r="AB117" i="4"/>
  <c r="AB116" i="4"/>
  <c r="K86" i="4"/>
  <c r="I81" i="4"/>
  <c r="R96" i="4" s="1"/>
  <c r="AC96" i="4" s="1"/>
  <c r="AB137" i="4"/>
  <c r="J9" i="5"/>
  <c r="AB127" i="4"/>
  <c r="AB121" i="4"/>
  <c r="K7" i="5"/>
  <c r="K24" i="5" s="1"/>
  <c r="AB142" i="4"/>
  <c r="N7" i="5"/>
  <c r="N24" i="5" s="1"/>
  <c r="I88" i="4"/>
  <c r="R103" i="4" s="1"/>
  <c r="AC103" i="4" s="1"/>
  <c r="AD103" i="4" s="1"/>
  <c r="D15" i="5"/>
  <c r="D25" i="5" s="1"/>
  <c r="AB139" i="4"/>
  <c r="I15" i="5"/>
  <c r="AD87" i="4"/>
  <c r="AD106" i="4"/>
  <c r="K70" i="4"/>
  <c r="I65" i="4"/>
  <c r="R80" i="4" s="1"/>
  <c r="O14" i="5"/>
  <c r="D11" i="9"/>
  <c r="E11" i="9" s="1"/>
  <c r="AB134" i="4"/>
  <c r="AB115" i="4"/>
  <c r="I82" i="4"/>
  <c r="R97" i="4" s="1"/>
  <c r="AC97" i="4" s="1"/>
  <c r="AB114" i="4"/>
  <c r="J7" i="5"/>
  <c r="AB122" i="4"/>
  <c r="C13" i="7"/>
  <c r="AD78" i="4"/>
  <c r="I68" i="4"/>
  <c r="R83" i="4" s="1"/>
  <c r="AC83" i="4" s="1"/>
  <c r="K73" i="4"/>
  <c r="AB73" i="4" s="1"/>
  <c r="AD73" i="4" s="1"/>
  <c r="I90" i="4"/>
  <c r="R105" i="4" s="1"/>
  <c r="AC105" i="4" s="1"/>
  <c r="AD105" i="4" s="1"/>
  <c r="K95" i="4"/>
  <c r="AB95" i="4" s="1"/>
  <c r="AD95" i="4" s="1"/>
  <c r="O59" i="3"/>
  <c r="B79" i="3" s="1"/>
  <c r="C65" i="3"/>
  <c r="N14" i="5"/>
  <c r="J14" i="5" l="1"/>
  <c r="AC109" i="4"/>
  <c r="AD109" i="4" s="1"/>
  <c r="P18" i="5"/>
  <c r="AD83" i="4"/>
  <c r="D42" i="4"/>
  <c r="D70" i="3"/>
  <c r="AD91" i="4"/>
  <c r="E14" i="5"/>
  <c r="AC80" i="4"/>
  <c r="AD80" i="4" s="1"/>
  <c r="G62" i="3"/>
  <c r="F66" i="3"/>
  <c r="F63" i="3"/>
  <c r="F65" i="3" s="1"/>
  <c r="AD84" i="4"/>
  <c r="AB70" i="4"/>
  <c r="AD70" i="4" s="1"/>
  <c r="C7" i="5"/>
  <c r="I24" i="5"/>
  <c r="L24" i="5"/>
  <c r="I14" i="5"/>
  <c r="AC107" i="4"/>
  <c r="AD107" i="4" s="1"/>
  <c r="AD99" i="4"/>
  <c r="H14" i="5"/>
  <c r="H25" i="5" s="1"/>
  <c r="AC100" i="4"/>
  <c r="AD97" i="4"/>
  <c r="AB79" i="4"/>
  <c r="AD79" i="4" s="1"/>
  <c r="E7" i="5"/>
  <c r="E24" i="5" s="1"/>
  <c r="E45" i="4"/>
  <c r="T155" i="4" s="1"/>
  <c r="O16" i="5" s="1"/>
  <c r="P16" i="5" s="1"/>
  <c r="E65" i="3"/>
  <c r="C12" i="7"/>
  <c r="G12" i="7" s="1"/>
  <c r="AB93" i="4"/>
  <c r="AD93" i="4" s="1"/>
  <c r="G7" i="5"/>
  <c r="G24" i="5" s="1"/>
  <c r="AC94" i="4"/>
  <c r="G14" i="5"/>
  <c r="G25" i="5" s="1"/>
  <c r="AC93" i="4"/>
  <c r="J24" i="5"/>
  <c r="AB86" i="4"/>
  <c r="F7" i="5"/>
  <c r="F24" i="5" s="1"/>
  <c r="AC101" i="4"/>
  <c r="AD101" i="4" s="1"/>
  <c r="F14" i="5"/>
  <c r="F25" i="5" s="1"/>
  <c r="AC86" i="4"/>
  <c r="AB72" i="4"/>
  <c r="AD72" i="4" s="1"/>
  <c r="D7" i="5"/>
  <c r="D24" i="5" s="1"/>
  <c r="H89" i="4"/>
  <c r="H82" i="4"/>
  <c r="H92" i="4"/>
  <c r="C55" i="4"/>
  <c r="H84" i="4"/>
  <c r="H80" i="4"/>
  <c r="H90" i="4"/>
  <c r="H72" i="4"/>
  <c r="H69" i="4"/>
  <c r="H77" i="4"/>
  <c r="H91" i="4"/>
  <c r="H74" i="4"/>
  <c r="H67" i="4"/>
  <c r="H85" i="4"/>
  <c r="H71" i="4"/>
  <c r="H93" i="4"/>
  <c r="H94" i="4"/>
  <c r="H75" i="4"/>
  <c r="H86" i="4"/>
  <c r="H88" i="4"/>
  <c r="H70" i="4"/>
  <c r="H81" i="4"/>
  <c r="H87" i="4"/>
  <c r="H83" i="4"/>
  <c r="H78" i="4"/>
  <c r="H76" i="4"/>
  <c r="H66" i="4"/>
  <c r="H68" i="4"/>
  <c r="H79" i="4"/>
  <c r="H73" i="4"/>
  <c r="H65" i="4"/>
  <c r="AD96" i="4"/>
  <c r="AD81" i="4"/>
  <c r="AD100" i="4"/>
  <c r="P9" i="5"/>
  <c r="AD94" i="4"/>
  <c r="D24" i="7"/>
  <c r="C72" i="3"/>
  <c r="D69" i="3"/>
  <c r="D60" i="7"/>
  <c r="D72" i="7"/>
  <c r="D48" i="7"/>
  <c r="D12" i="7"/>
  <c r="D36" i="7"/>
  <c r="P135" i="4" l="1"/>
  <c r="O120" i="4"/>
  <c r="AC120" i="4" s="1"/>
  <c r="AD120" i="4" s="1"/>
  <c r="P154" i="4"/>
  <c r="O139" i="4"/>
  <c r="P138" i="4"/>
  <c r="O123" i="4"/>
  <c r="AC123" i="4" s="1"/>
  <c r="AD123" i="4" s="1"/>
  <c r="P144" i="4"/>
  <c r="O129" i="4"/>
  <c r="P125" i="4"/>
  <c r="O110" i="4"/>
  <c r="P149" i="4"/>
  <c r="O134" i="4"/>
  <c r="P139" i="4"/>
  <c r="O124" i="4"/>
  <c r="AC124" i="4" s="1"/>
  <c r="AD124" i="4" s="1"/>
  <c r="P146" i="4"/>
  <c r="O131" i="4"/>
  <c r="P128" i="4"/>
  <c r="O113" i="4"/>
  <c r="AC113" i="4" s="1"/>
  <c r="AD113" i="4" s="1"/>
  <c r="P126" i="4"/>
  <c r="O111" i="4"/>
  <c r="AC111" i="4" s="1"/>
  <c r="AD111" i="4" s="1"/>
  <c r="G63" i="3"/>
  <c r="G65" i="3" s="1"/>
  <c r="H62" i="3"/>
  <c r="G66" i="3"/>
  <c r="P136" i="4"/>
  <c r="O121" i="4"/>
  <c r="P153" i="4"/>
  <c r="O138" i="4"/>
  <c r="AC138" i="4" s="1"/>
  <c r="AD138" i="4" s="1"/>
  <c r="P140" i="4"/>
  <c r="O125" i="4"/>
  <c r="AC125" i="4" s="1"/>
  <c r="AD125" i="4" s="1"/>
  <c r="G13" i="7"/>
  <c r="I12" i="7"/>
  <c r="P131" i="4"/>
  <c r="O116" i="4"/>
  <c r="AC116" i="4" s="1"/>
  <c r="AD116" i="4" s="1"/>
  <c r="P143" i="4"/>
  <c r="O128" i="4"/>
  <c r="P145" i="4"/>
  <c r="O130" i="4"/>
  <c r="C58" i="4"/>
  <c r="C57" i="4"/>
  <c r="C59" i="4" s="1"/>
  <c r="AD86" i="4"/>
  <c r="C74" i="3"/>
  <c r="P14" i="5"/>
  <c r="E25" i="5"/>
  <c r="P151" i="4"/>
  <c r="O136" i="4"/>
  <c r="P150" i="4"/>
  <c r="O135" i="4"/>
  <c r="P147" i="4"/>
  <c r="O132" i="4"/>
  <c r="AC132" i="4" s="1"/>
  <c r="AD132" i="4" s="1"/>
  <c r="P127" i="4"/>
  <c r="O112" i="4"/>
  <c r="AC112" i="4" s="1"/>
  <c r="AD112" i="4" s="1"/>
  <c r="P152" i="4"/>
  <c r="O137" i="4"/>
  <c r="C14" i="7"/>
  <c r="C24" i="5"/>
  <c r="C26" i="5" s="1"/>
  <c r="P7" i="5"/>
  <c r="D25" i="7"/>
  <c r="D73" i="7"/>
  <c r="D13" i="7"/>
  <c r="D72" i="3"/>
  <c r="D61" i="7"/>
  <c r="D37" i="7"/>
  <c r="D49" i="7"/>
  <c r="E68" i="3"/>
  <c r="P141" i="4"/>
  <c r="O126" i="4"/>
  <c r="P134" i="4"/>
  <c r="O119" i="4"/>
  <c r="AC119" i="4" s="1"/>
  <c r="AD119" i="4" s="1"/>
  <c r="P142" i="4"/>
  <c r="N12" i="5" s="1"/>
  <c r="O127" i="4"/>
  <c r="P133" i="4"/>
  <c r="O118" i="4"/>
  <c r="AC118" i="4" s="1"/>
  <c r="AD118" i="4" s="1"/>
  <c r="P148" i="4"/>
  <c r="O133" i="4"/>
  <c r="AC133" i="4" s="1"/>
  <c r="AD133" i="4" s="1"/>
  <c r="P137" i="4"/>
  <c r="O122" i="4"/>
  <c r="AC122" i="4" s="1"/>
  <c r="AD122" i="4" s="1"/>
  <c r="P129" i="4"/>
  <c r="O114" i="4"/>
  <c r="C15" i="7"/>
  <c r="P130" i="4"/>
  <c r="O115" i="4"/>
  <c r="AC115" i="4" s="1"/>
  <c r="AD115" i="4" s="1"/>
  <c r="P132" i="4"/>
  <c r="O117" i="4"/>
  <c r="AC117" i="4" s="1"/>
  <c r="AD117" i="4" s="1"/>
  <c r="H113" i="4"/>
  <c r="H111" i="4"/>
  <c r="H109" i="4"/>
  <c r="O154" i="4" s="1"/>
  <c r="AC154" i="4" s="1"/>
  <c r="AD154" i="4" s="1"/>
  <c r="H96" i="4"/>
  <c r="O141" i="4" s="1"/>
  <c r="AC141" i="4" s="1"/>
  <c r="AD141" i="4" s="1"/>
  <c r="H103" i="4"/>
  <c r="O148" i="4" s="1"/>
  <c r="AC148" i="4" s="1"/>
  <c r="AD148" i="4" s="1"/>
  <c r="D55" i="4"/>
  <c r="H107" i="4"/>
  <c r="O152" i="4" s="1"/>
  <c r="AC152" i="4" s="1"/>
  <c r="AD152" i="4" s="1"/>
  <c r="H114" i="4"/>
  <c r="H108" i="4"/>
  <c r="O153" i="4" s="1"/>
  <c r="H102" i="4"/>
  <c r="O147" i="4" s="1"/>
  <c r="H97" i="4"/>
  <c r="O142" i="4" s="1"/>
  <c r="H121" i="4"/>
  <c r="H106" i="4"/>
  <c r="O151" i="4" s="1"/>
  <c r="H116" i="4"/>
  <c r="H118" i="4"/>
  <c r="H98" i="4"/>
  <c r="O143" i="4" s="1"/>
  <c r="AC143" i="4" s="1"/>
  <c r="AD143" i="4" s="1"/>
  <c r="H101" i="4"/>
  <c r="O146" i="4" s="1"/>
  <c r="AC146" i="4" s="1"/>
  <c r="AD146" i="4" s="1"/>
  <c r="H120" i="4"/>
  <c r="H125" i="4"/>
  <c r="H119" i="4"/>
  <c r="H122" i="4"/>
  <c r="H124" i="4"/>
  <c r="H99" i="4"/>
  <c r="O144" i="4" s="1"/>
  <c r="AC144" i="4" s="1"/>
  <c r="AD144" i="4" s="1"/>
  <c r="H104" i="4"/>
  <c r="O149" i="4" s="1"/>
  <c r="H95" i="4"/>
  <c r="H110" i="4"/>
  <c r="O155" i="4" s="1"/>
  <c r="H123" i="4"/>
  <c r="H115" i="4"/>
  <c r="H112" i="4"/>
  <c r="H117" i="4"/>
  <c r="H100" i="4"/>
  <c r="O145" i="4" s="1"/>
  <c r="H105" i="4"/>
  <c r="O150" i="4" s="1"/>
  <c r="AC130" i="4" l="1"/>
  <c r="AD130" i="4" s="1"/>
  <c r="AC151" i="4"/>
  <c r="AD151" i="4" s="1"/>
  <c r="AC126" i="4"/>
  <c r="AD126" i="4" s="1"/>
  <c r="AC150" i="4"/>
  <c r="AD150" i="4" s="1"/>
  <c r="AC136" i="4"/>
  <c r="AD136" i="4" s="1"/>
  <c r="AC153" i="4"/>
  <c r="AD153" i="4" s="1"/>
  <c r="AC134" i="4"/>
  <c r="AD134" i="4" s="1"/>
  <c r="M12" i="5"/>
  <c r="O12" i="5"/>
  <c r="AC129" i="4"/>
  <c r="AD129" i="4" s="1"/>
  <c r="D6" i="5"/>
  <c r="D26" i="5" s="1"/>
  <c r="C27" i="5"/>
  <c r="AC135" i="4"/>
  <c r="AD135" i="4" s="1"/>
  <c r="AC128" i="4"/>
  <c r="AD128" i="4" s="1"/>
  <c r="L11" i="5"/>
  <c r="AC121" i="4"/>
  <c r="AD121" i="4" s="1"/>
  <c r="K11" i="5"/>
  <c r="P155" i="4"/>
  <c r="AC155" i="4" s="1"/>
  <c r="AD155" i="4" s="1"/>
  <c r="O140" i="4"/>
  <c r="AC140" i="4" s="1"/>
  <c r="AD140" i="4" s="1"/>
  <c r="E12" i="7"/>
  <c r="F12" i="7" s="1"/>
  <c r="C75" i="3"/>
  <c r="I13" i="7"/>
  <c r="G14" i="7"/>
  <c r="AC110" i="4"/>
  <c r="AD110" i="4" s="1"/>
  <c r="I11" i="5"/>
  <c r="K12" i="5"/>
  <c r="AC142" i="4"/>
  <c r="AD142" i="4" s="1"/>
  <c r="N11" i="5"/>
  <c r="L12" i="5"/>
  <c r="AC131" i="4"/>
  <c r="AD131" i="4" s="1"/>
  <c r="AC137" i="4"/>
  <c r="AD137" i="4" s="1"/>
  <c r="AC139" i="4"/>
  <c r="AD139" i="4" s="1"/>
  <c r="H66" i="3"/>
  <c r="I62" i="3"/>
  <c r="H63" i="3"/>
  <c r="H65" i="3" s="1"/>
  <c r="AC149" i="4"/>
  <c r="AD149" i="4" s="1"/>
  <c r="O11" i="5"/>
  <c r="J11" i="5"/>
  <c r="C16" i="7"/>
  <c r="C60" i="4"/>
  <c r="C61" i="4"/>
  <c r="U114" i="4" s="1"/>
  <c r="J17" i="5" s="1"/>
  <c r="AC147" i="4"/>
  <c r="AD147" i="4" s="1"/>
  <c r="E70" i="3"/>
  <c r="E42" i="4"/>
  <c r="D57" i="4"/>
  <c r="D58" i="4"/>
  <c r="AC127" i="4"/>
  <c r="AD127" i="4" s="1"/>
  <c r="E69" i="3"/>
  <c r="L25" i="5" l="1"/>
  <c r="M11" i="5"/>
  <c r="M25" i="5" s="1"/>
  <c r="D50" i="7"/>
  <c r="D74" i="7"/>
  <c r="D14" i="7"/>
  <c r="E72" i="3"/>
  <c r="D38" i="7"/>
  <c r="D62" i="7"/>
  <c r="D26" i="7"/>
  <c r="F68" i="3"/>
  <c r="F69" i="3" s="1"/>
  <c r="J62" i="3"/>
  <c r="I66" i="3"/>
  <c r="I63" i="3"/>
  <c r="I65" i="3" s="1"/>
  <c r="D59" i="4"/>
  <c r="J25" i="5"/>
  <c r="H129" i="4"/>
  <c r="H146" i="4"/>
  <c r="H149" i="4"/>
  <c r="H137" i="4"/>
  <c r="H131" i="4"/>
  <c r="H148" i="4"/>
  <c r="H152" i="4"/>
  <c r="H147" i="4"/>
  <c r="H141" i="4"/>
  <c r="H142" i="4"/>
  <c r="H151" i="4"/>
  <c r="H134" i="4"/>
  <c r="H136" i="4"/>
  <c r="H128" i="4"/>
  <c r="H139" i="4"/>
  <c r="H126" i="4"/>
  <c r="H135" i="4"/>
  <c r="H154" i="4"/>
  <c r="H143" i="4"/>
  <c r="H140" i="4"/>
  <c r="H130" i="4"/>
  <c r="H145" i="4"/>
  <c r="H155" i="4"/>
  <c r="H132" i="4"/>
  <c r="H150" i="4"/>
  <c r="H153" i="4"/>
  <c r="H144" i="4"/>
  <c r="H133" i="4"/>
  <c r="H127" i="4"/>
  <c r="H138" i="4"/>
  <c r="AC114" i="4"/>
  <c r="AD114" i="4" s="1"/>
  <c r="H12" i="7"/>
  <c r="I25" i="5"/>
  <c r="P11" i="5"/>
  <c r="D73" i="3"/>
  <c r="O25" i="5"/>
  <c r="D27" i="5"/>
  <c r="E6" i="5"/>
  <c r="E26" i="5" s="1"/>
  <c r="C17" i="7"/>
  <c r="P12" i="5"/>
  <c r="K25" i="5"/>
  <c r="G15" i="7"/>
  <c r="I14" i="7"/>
  <c r="G68" i="3" l="1"/>
  <c r="G70" i="3" s="1"/>
  <c r="I15" i="7"/>
  <c r="G16" i="7"/>
  <c r="K62" i="3"/>
  <c r="J63" i="3"/>
  <c r="J65" i="3" s="1"/>
  <c r="J66" i="3"/>
  <c r="C18" i="7"/>
  <c r="D74" i="3"/>
  <c r="E27" i="5"/>
  <c r="F6" i="5"/>
  <c r="F26" i="5" s="1"/>
  <c r="D60" i="4"/>
  <c r="D61" i="4"/>
  <c r="U145" i="4" s="1"/>
  <c r="F70" i="3"/>
  <c r="F72" i="3" s="1"/>
  <c r="D15" i="7" l="1"/>
  <c r="D39" i="7"/>
  <c r="E13" i="7"/>
  <c r="F13" i="7" s="1"/>
  <c r="D75" i="3"/>
  <c r="N17" i="5"/>
  <c r="AC145" i="4"/>
  <c r="AD145" i="4" s="1"/>
  <c r="D63" i="7"/>
  <c r="D51" i="7"/>
  <c r="D27" i="7"/>
  <c r="D75" i="7"/>
  <c r="C19" i="7"/>
  <c r="G17" i="7"/>
  <c r="I16" i="7"/>
  <c r="G6" i="5"/>
  <c r="G26" i="5" s="1"/>
  <c r="F27" i="5"/>
  <c r="K66" i="3"/>
  <c r="K63" i="3"/>
  <c r="K65" i="3" s="1"/>
  <c r="L62" i="3"/>
  <c r="G69" i="3"/>
  <c r="C20" i="7" l="1"/>
  <c r="D40" i="7"/>
  <c r="D64" i="7"/>
  <c r="D16" i="7"/>
  <c r="G72" i="3"/>
  <c r="D52" i="7"/>
  <c r="D28" i="7"/>
  <c r="D76" i="7"/>
  <c r="H68" i="3"/>
  <c r="N25" i="5"/>
  <c r="P17" i="5"/>
  <c r="B34" i="5" s="1"/>
  <c r="G27" i="5"/>
  <c r="H6" i="5"/>
  <c r="H26" i="5" s="1"/>
  <c r="E73" i="3"/>
  <c r="L63" i="3"/>
  <c r="L65" i="3" s="1"/>
  <c r="M62" i="3"/>
  <c r="L66" i="3"/>
  <c r="I17" i="7"/>
  <c r="G18" i="7"/>
  <c r="H13" i="7"/>
  <c r="I18" i="7" l="1"/>
  <c r="G19" i="7"/>
  <c r="H70" i="3"/>
  <c r="M63" i="3"/>
  <c r="M65" i="3" s="1"/>
  <c r="M66" i="3"/>
  <c r="N62" i="3"/>
  <c r="C21" i="7"/>
  <c r="E74" i="3"/>
  <c r="H69" i="3"/>
  <c r="I6" i="5"/>
  <c r="I26" i="5" s="1"/>
  <c r="H27" i="5"/>
  <c r="E14" i="7" l="1"/>
  <c r="F14" i="7" s="1"/>
  <c r="E75" i="3"/>
  <c r="N66" i="3"/>
  <c r="N63" i="3"/>
  <c r="I27" i="5"/>
  <c r="J6" i="5"/>
  <c r="J26" i="5" s="1"/>
  <c r="C22" i="7"/>
  <c r="D65" i="7"/>
  <c r="H72" i="3"/>
  <c r="I69" i="3"/>
  <c r="D41" i="7"/>
  <c r="D17" i="7"/>
  <c r="D29" i="7"/>
  <c r="D53" i="7"/>
  <c r="D77" i="7"/>
  <c r="I68" i="3"/>
  <c r="I70" i="3" s="1"/>
  <c r="G20" i="7"/>
  <c r="I19" i="7"/>
  <c r="F73" i="3" l="1"/>
  <c r="D30" i="7"/>
  <c r="D66" i="7"/>
  <c r="D42" i="7"/>
  <c r="I72" i="3"/>
  <c r="D78" i="7"/>
  <c r="D54" i="7"/>
  <c r="D18" i="7"/>
  <c r="J68" i="3"/>
  <c r="J70" i="3" s="1"/>
  <c r="H14" i="7"/>
  <c r="I20" i="7"/>
  <c r="G21" i="7"/>
  <c r="J27" i="5"/>
  <c r="K6" i="5"/>
  <c r="K26" i="5" s="1"/>
  <c r="C72" i="7"/>
  <c r="C53" i="7"/>
  <c r="C29" i="7"/>
  <c r="C47" i="7"/>
  <c r="C81" i="7"/>
  <c r="C79" i="7"/>
  <c r="C63" i="7"/>
  <c r="C41" i="7"/>
  <c r="C34" i="7"/>
  <c r="C32" i="7"/>
  <c r="C69" i="7"/>
  <c r="C54" i="7"/>
  <c r="C52" i="7"/>
  <c r="C24" i="7"/>
  <c r="C82" i="7"/>
  <c r="C62" i="7"/>
  <c r="C57" i="7"/>
  <c r="C31" i="7"/>
  <c r="C46" i="7"/>
  <c r="C78" i="7"/>
  <c r="C39" i="7"/>
  <c r="C37" i="7"/>
  <c r="C42" i="7"/>
  <c r="C64" i="7"/>
  <c r="C33" i="7"/>
  <c r="C76" i="7"/>
  <c r="C36" i="7"/>
  <c r="C38" i="7"/>
  <c r="C25" i="7"/>
  <c r="C50" i="7"/>
  <c r="C75" i="7"/>
  <c r="C60" i="7"/>
  <c r="C28" i="7"/>
  <c r="C66" i="7"/>
  <c r="C45" i="7"/>
  <c r="C43" i="7"/>
  <c r="C61" i="7"/>
  <c r="C68" i="7"/>
  <c r="C26" i="7"/>
  <c r="C51" i="7"/>
  <c r="C55" i="7"/>
  <c r="C48" i="7"/>
  <c r="C77" i="7"/>
  <c r="C30" i="7"/>
  <c r="C58" i="7"/>
  <c r="C71" i="7"/>
  <c r="C70" i="7"/>
  <c r="C80" i="7"/>
  <c r="C59" i="7"/>
  <c r="C73" i="7"/>
  <c r="C49" i="7"/>
  <c r="C35" i="7"/>
  <c r="C67" i="7"/>
  <c r="C83" i="7"/>
  <c r="C74" i="7"/>
  <c r="C27" i="7"/>
  <c r="C44" i="7"/>
  <c r="C40" i="7"/>
  <c r="C56" i="7"/>
  <c r="C65" i="7"/>
  <c r="N65" i="3"/>
  <c r="O63" i="3"/>
  <c r="B84" i="3" l="1"/>
  <c r="B80" i="3"/>
  <c r="C23" i="7"/>
  <c r="O65" i="3"/>
  <c r="B81" i="3" s="1"/>
  <c r="C5" i="9" s="1"/>
  <c r="L6" i="5"/>
  <c r="L26" i="5" s="1"/>
  <c r="K27" i="5"/>
  <c r="J69" i="3"/>
  <c r="G22" i="7"/>
  <c r="I21" i="7"/>
  <c r="F74" i="3"/>
  <c r="D5" i="9" l="1"/>
  <c r="E5" i="9" s="1"/>
  <c r="D67" i="7"/>
  <c r="D43" i="7"/>
  <c r="D31" i="7"/>
  <c r="D55" i="7"/>
  <c r="J72" i="3"/>
  <c r="D19" i="7"/>
  <c r="D79" i="7"/>
  <c r="K68" i="3"/>
  <c r="K70" i="3" s="1"/>
  <c r="L27" i="5"/>
  <c r="M6" i="5"/>
  <c r="M26" i="5" s="1"/>
  <c r="E15" i="7"/>
  <c r="F15" i="7" s="1"/>
  <c r="F75" i="3"/>
  <c r="G23" i="7"/>
  <c r="I22" i="7"/>
  <c r="M27" i="5" l="1"/>
  <c r="N6" i="5"/>
  <c r="N26" i="5" s="1"/>
  <c r="I23" i="7"/>
  <c r="G24" i="7"/>
  <c r="K69" i="3"/>
  <c r="G73" i="3"/>
  <c r="H15" i="7"/>
  <c r="G74" i="3" l="1"/>
  <c r="N27" i="5"/>
  <c r="O6" i="5"/>
  <c r="O26" i="5" s="1"/>
  <c r="D68" i="7"/>
  <c r="D56" i="7"/>
  <c r="D32" i="7"/>
  <c r="D80" i="7"/>
  <c r="K72" i="3"/>
  <c r="D20" i="7"/>
  <c r="D44" i="7"/>
  <c r="L68" i="3"/>
  <c r="L70" i="3" s="1"/>
  <c r="G25" i="7"/>
  <c r="I24" i="7"/>
  <c r="G26" i="7" l="1"/>
  <c r="I25" i="7"/>
  <c r="L69" i="3"/>
  <c r="O27" i="5"/>
  <c r="B30" i="5"/>
  <c r="C8" i="9" s="1"/>
  <c r="B31" i="5"/>
  <c r="E16" i="7"/>
  <c r="F16" i="7" s="1"/>
  <c r="G75" i="3"/>
  <c r="D8" i="9" l="1"/>
  <c r="E8" i="9"/>
  <c r="H73" i="3"/>
  <c r="D21" i="7"/>
  <c r="D57" i="7"/>
  <c r="D33" i="7"/>
  <c r="M69" i="3"/>
  <c r="L72" i="3"/>
  <c r="D45" i="7"/>
  <c r="D69" i="7"/>
  <c r="D81" i="7"/>
  <c r="M68" i="3"/>
  <c r="M70" i="3" s="1"/>
  <c r="H16" i="7"/>
  <c r="B33" i="5"/>
  <c r="C9" i="9" s="1"/>
  <c r="B32" i="5"/>
  <c r="G27" i="7"/>
  <c r="I26" i="7"/>
  <c r="I27" i="7" l="1"/>
  <c r="G28" i="7"/>
  <c r="D82" i="7"/>
  <c r="D46" i="7"/>
  <c r="N69" i="3"/>
  <c r="M72" i="3"/>
  <c r="D34" i="7"/>
  <c r="D58" i="7"/>
  <c r="D22" i="7"/>
  <c r="D70" i="7"/>
  <c r="N68" i="3"/>
  <c r="D9" i="9"/>
  <c r="E9" i="9" s="1"/>
  <c r="H74" i="3"/>
  <c r="E17" i="7" l="1"/>
  <c r="F17" i="7" s="1"/>
  <c r="H75" i="3"/>
  <c r="N70" i="3"/>
  <c r="B7" i="7" s="1"/>
  <c r="O68" i="3"/>
  <c r="I28" i="7"/>
  <c r="G29" i="7"/>
  <c r="D35" i="7" l="1"/>
  <c r="D23" i="7"/>
  <c r="D83" i="7"/>
  <c r="I73" i="3"/>
  <c r="I74" i="3" s="1"/>
  <c r="E18" i="7" s="1"/>
  <c r="F18" i="7" s="1"/>
  <c r="G30" i="7"/>
  <c r="I29" i="7"/>
  <c r="H17" i="7"/>
  <c r="D59" i="7"/>
  <c r="D47" i="7"/>
  <c r="D71" i="7"/>
  <c r="N72" i="3"/>
  <c r="I75" i="3" l="1"/>
  <c r="J73" i="3"/>
  <c r="J74" i="3" s="1"/>
  <c r="E19" i="7" s="1"/>
  <c r="J75" i="3"/>
  <c r="F19" i="7"/>
  <c r="H18" i="7"/>
  <c r="I30" i="7"/>
  <c r="G31" i="7"/>
  <c r="O72" i="3"/>
  <c r="G32" i="7" l="1"/>
  <c r="I31" i="7"/>
  <c r="H19" i="7"/>
  <c r="K73" i="3"/>
  <c r="K74" i="3" s="1"/>
  <c r="E20" i="7" s="1"/>
  <c r="F20" i="7" s="1"/>
  <c r="H20" i="7" l="1"/>
  <c r="K75" i="3"/>
  <c r="G33" i="7"/>
  <c r="I32" i="7"/>
  <c r="I33" i="7" l="1"/>
  <c r="G34" i="7"/>
  <c r="L73" i="3"/>
  <c r="L74" i="3" s="1"/>
  <c r="E21" i="7" s="1"/>
  <c r="F21" i="7" s="1"/>
  <c r="L75" i="3" l="1"/>
  <c r="H21" i="7"/>
  <c r="G35" i="7"/>
  <c r="I34" i="7"/>
  <c r="I35" i="7" l="1"/>
  <c r="G36" i="7"/>
  <c r="M73" i="3"/>
  <c r="M74" i="3" s="1"/>
  <c r="E22" i="7" s="1"/>
  <c r="F22" i="7" s="1"/>
  <c r="G37" i="7" l="1"/>
  <c r="I36" i="7"/>
  <c r="H22" i="7"/>
  <c r="M75" i="3"/>
  <c r="G38" i="7" l="1"/>
  <c r="I37" i="7"/>
  <c r="N73" i="3"/>
  <c r="O73" i="3" l="1"/>
  <c r="N74" i="3"/>
  <c r="I38" i="7"/>
  <c r="G39" i="7"/>
  <c r="I39" i="7" l="1"/>
  <c r="G40" i="7"/>
  <c r="E23" i="7"/>
  <c r="F23" i="7" s="1"/>
  <c r="O74" i="3"/>
  <c r="B82" i="3" s="1"/>
  <c r="C6" i="9" s="1"/>
  <c r="N75" i="3"/>
  <c r="D6" i="9" l="1"/>
  <c r="E6" i="9" s="1"/>
  <c r="H23" i="7"/>
  <c r="E24" i="7"/>
  <c r="F24" i="7" s="1"/>
  <c r="B83" i="3"/>
  <c r="C7" i="9" s="1"/>
  <c r="O75" i="3"/>
  <c r="G41" i="7"/>
  <c r="I40" i="7"/>
  <c r="H24" i="7" l="1"/>
  <c r="E25" i="7"/>
  <c r="F25" i="7" s="1"/>
  <c r="G42" i="7"/>
  <c r="I41" i="7"/>
  <c r="D7" i="9"/>
  <c r="E7" i="9" s="1"/>
  <c r="H25" i="7" l="1"/>
  <c r="E26" i="7"/>
  <c r="F26" i="7" s="1"/>
  <c r="I42" i="7"/>
  <c r="G43" i="7"/>
  <c r="H26" i="7" l="1"/>
  <c r="E27" i="7"/>
  <c r="F27" i="7" s="1"/>
  <c r="I43" i="7"/>
  <c r="G44" i="7"/>
  <c r="H27" i="7" l="1"/>
  <c r="E28" i="7"/>
  <c r="F28" i="7" s="1"/>
  <c r="G45" i="7"/>
  <c r="I44" i="7"/>
  <c r="H28" i="7" l="1"/>
  <c r="E29" i="7"/>
  <c r="F29" i="7" s="1"/>
  <c r="I45" i="7"/>
  <c r="G46" i="7"/>
  <c r="H29" i="7" l="1"/>
  <c r="E30" i="7"/>
  <c r="F30" i="7" s="1"/>
  <c r="G47" i="7"/>
  <c r="I46" i="7"/>
  <c r="H30" i="7" l="1"/>
  <c r="E31" i="7"/>
  <c r="F31" i="7" s="1"/>
  <c r="G48" i="7"/>
  <c r="I47" i="7"/>
  <c r="H31" i="7" l="1"/>
  <c r="E32" i="7"/>
  <c r="F32" i="7" s="1"/>
  <c r="I48" i="7"/>
  <c r="G49" i="7"/>
  <c r="H32" i="7" l="1"/>
  <c r="E33" i="7"/>
  <c r="F33" i="7" s="1"/>
  <c r="G50" i="7"/>
  <c r="I49" i="7"/>
  <c r="H33" i="7" l="1"/>
  <c r="E34" i="7"/>
  <c r="F34" i="7" s="1"/>
  <c r="I50" i="7"/>
  <c r="G51" i="7"/>
  <c r="H34" i="7" l="1"/>
  <c r="E35" i="7"/>
  <c r="F35" i="7" s="1"/>
  <c r="G52" i="7"/>
  <c r="I51" i="7"/>
  <c r="I52" i="7" l="1"/>
  <c r="G53" i="7"/>
  <c r="H35" i="7"/>
  <c r="E36" i="7"/>
  <c r="F36" i="7" s="1"/>
  <c r="I53" i="7" l="1"/>
  <c r="G54" i="7"/>
  <c r="H36" i="7"/>
  <c r="E37" i="7"/>
  <c r="F37" i="7" s="1"/>
  <c r="H37" i="7" l="1"/>
  <c r="E38" i="7"/>
  <c r="F38" i="7" s="1"/>
  <c r="G55" i="7"/>
  <c r="I54" i="7"/>
  <c r="H38" i="7" l="1"/>
  <c r="E39" i="7"/>
  <c r="F39" i="7" s="1"/>
  <c r="G56" i="7"/>
  <c r="I55" i="7"/>
  <c r="H39" i="7" l="1"/>
  <c r="E40" i="7"/>
  <c r="F40" i="7" s="1"/>
  <c r="G57" i="7"/>
  <c r="I56" i="7"/>
  <c r="H40" i="7" l="1"/>
  <c r="E41" i="7"/>
  <c r="F41" i="7" s="1"/>
  <c r="I57" i="7"/>
  <c r="G58" i="7"/>
  <c r="H41" i="7" l="1"/>
  <c r="E42" i="7"/>
  <c r="F42" i="7" s="1"/>
  <c r="I58" i="7"/>
  <c r="G59" i="7"/>
  <c r="H42" i="7" l="1"/>
  <c r="E43" i="7"/>
  <c r="F43" i="7" s="1"/>
  <c r="G60" i="7"/>
  <c r="I59" i="7"/>
  <c r="H43" i="7" l="1"/>
  <c r="E44" i="7"/>
  <c r="F44" i="7" s="1"/>
  <c r="I60" i="7"/>
  <c r="G61" i="7"/>
  <c r="H44" i="7" l="1"/>
  <c r="E45" i="7"/>
  <c r="F45" i="7" s="1"/>
  <c r="G62" i="7"/>
  <c r="I61" i="7"/>
  <c r="H45" i="7" l="1"/>
  <c r="E46" i="7"/>
  <c r="F46" i="7" s="1"/>
  <c r="G63" i="7"/>
  <c r="I62" i="7"/>
  <c r="H46" i="7" l="1"/>
  <c r="E47" i="7"/>
  <c r="F47" i="7" s="1"/>
  <c r="I63" i="7"/>
  <c r="G64" i="7"/>
  <c r="H47" i="7" l="1"/>
  <c r="E48" i="7"/>
  <c r="F48" i="7" s="1"/>
  <c r="G65" i="7"/>
  <c r="I64" i="7"/>
  <c r="H48" i="7" l="1"/>
  <c r="E49" i="7"/>
  <c r="F49" i="7" s="1"/>
  <c r="I65" i="7"/>
  <c r="G66" i="7"/>
  <c r="H49" i="7" l="1"/>
  <c r="E50" i="7"/>
  <c r="F50" i="7" s="1"/>
  <c r="G67" i="7"/>
  <c r="I66" i="7"/>
  <c r="H50" i="7" l="1"/>
  <c r="E51" i="7"/>
  <c r="F51" i="7" s="1"/>
  <c r="I67" i="7"/>
  <c r="G68" i="7"/>
  <c r="H51" i="7" l="1"/>
  <c r="E52" i="7"/>
  <c r="F52" i="7" s="1"/>
  <c r="I68" i="7"/>
  <c r="G69" i="7"/>
  <c r="H52" i="7" l="1"/>
  <c r="E53" i="7"/>
  <c r="F53" i="7" s="1"/>
  <c r="G70" i="7"/>
  <c r="I69" i="7"/>
  <c r="H53" i="7" l="1"/>
  <c r="E54" i="7"/>
  <c r="F54" i="7" s="1"/>
  <c r="I70" i="7"/>
  <c r="G71" i="7"/>
  <c r="H54" i="7" l="1"/>
  <c r="E55" i="7"/>
  <c r="F55" i="7" s="1"/>
  <c r="G72" i="7"/>
  <c r="I71" i="7"/>
  <c r="H55" i="7" l="1"/>
  <c r="E56" i="7"/>
  <c r="F56" i="7" s="1"/>
  <c r="G73" i="7"/>
  <c r="I72" i="7"/>
  <c r="H56" i="7" l="1"/>
  <c r="E57" i="7"/>
  <c r="F57" i="7" s="1"/>
  <c r="I73" i="7"/>
  <c r="G74" i="7"/>
  <c r="H57" i="7" l="1"/>
  <c r="E58" i="7"/>
  <c r="F58" i="7" s="1"/>
  <c r="I74" i="7"/>
  <c r="G75" i="7"/>
  <c r="H58" i="7" l="1"/>
  <c r="E59" i="7"/>
  <c r="F59" i="7" s="1"/>
  <c r="I75" i="7"/>
  <c r="G76" i="7"/>
  <c r="H59" i="7" l="1"/>
  <c r="E60" i="7"/>
  <c r="F60" i="7" s="1"/>
  <c r="G77" i="7"/>
  <c r="I76" i="7"/>
  <c r="H60" i="7" l="1"/>
  <c r="E61" i="7"/>
  <c r="F61" i="7" s="1"/>
  <c r="I77" i="7"/>
  <c r="G78" i="7"/>
  <c r="H61" i="7" l="1"/>
  <c r="E62" i="7"/>
  <c r="F62" i="7" s="1"/>
  <c r="I78" i="7"/>
  <c r="G79" i="7"/>
  <c r="H62" i="7" l="1"/>
  <c r="E63" i="7"/>
  <c r="F63" i="7" s="1"/>
  <c r="G80" i="7"/>
  <c r="I79" i="7"/>
  <c r="H63" i="7" l="1"/>
  <c r="E64" i="7"/>
  <c r="F64" i="7" s="1"/>
  <c r="G81" i="7"/>
  <c r="I80" i="7"/>
  <c r="G82" i="7" l="1"/>
  <c r="I81" i="7"/>
  <c r="H64" i="7"/>
  <c r="E65" i="7"/>
  <c r="F65" i="7" s="1"/>
  <c r="H65" i="7" l="1"/>
  <c r="E66" i="7"/>
  <c r="F66" i="7" s="1"/>
  <c r="I82" i="7"/>
  <c r="G83" i="7"/>
  <c r="I83" i="7" s="1"/>
  <c r="B9" i="7" s="1"/>
  <c r="C13" i="9" s="1"/>
  <c r="H66" i="7" l="1"/>
  <c r="E67" i="7"/>
  <c r="F67" i="7" s="1"/>
  <c r="D13" i="9"/>
  <c r="E13" i="9" s="1"/>
  <c r="H67" i="7" l="1"/>
  <c r="E68" i="7"/>
  <c r="F68" i="7" s="1"/>
  <c r="H68" i="7" l="1"/>
  <c r="E69" i="7"/>
  <c r="F69" i="7" s="1"/>
  <c r="H69" i="7" l="1"/>
  <c r="E70" i="7"/>
  <c r="F70" i="7" s="1"/>
  <c r="H70" i="7" l="1"/>
  <c r="E71" i="7"/>
  <c r="F71" i="7" s="1"/>
  <c r="H71" i="7" l="1"/>
  <c r="E72" i="7"/>
  <c r="F72" i="7" s="1"/>
  <c r="H72" i="7" l="1"/>
  <c r="E73" i="7"/>
  <c r="F73" i="7" s="1"/>
  <c r="H73" i="7" l="1"/>
  <c r="E74" i="7"/>
  <c r="F74" i="7" s="1"/>
  <c r="H74" i="7" l="1"/>
  <c r="E75" i="7"/>
  <c r="F75" i="7" s="1"/>
  <c r="H75" i="7" l="1"/>
  <c r="E76" i="7"/>
  <c r="F76" i="7" s="1"/>
  <c r="H76" i="7" l="1"/>
  <c r="E77" i="7"/>
  <c r="F77" i="7" s="1"/>
  <c r="H77" i="7" l="1"/>
  <c r="E78" i="7"/>
  <c r="F78" i="7" s="1"/>
  <c r="H78" i="7" l="1"/>
  <c r="E79" i="7"/>
  <c r="F79" i="7" s="1"/>
  <c r="H79" i="7" l="1"/>
  <c r="E80" i="7"/>
  <c r="F80" i="7" s="1"/>
  <c r="H80" i="7" l="1"/>
  <c r="E81" i="7"/>
  <c r="F81" i="7" s="1"/>
  <c r="H81" i="7" l="1"/>
  <c r="E82" i="7"/>
  <c r="F82" i="7" s="1"/>
  <c r="H82" i="7" l="1"/>
  <c r="E83" i="7"/>
  <c r="F83" i="7" s="1"/>
  <c r="H83" i="7" s="1"/>
  <c r="B8" i="7" s="1"/>
  <c r="C12" i="9" s="1"/>
  <c r="D12" i="9" l="1"/>
  <c r="E12" i="9" s="1"/>
</calcChain>
</file>

<file path=xl/sharedStrings.xml><?xml version="1.0" encoding="utf-8"?>
<sst xmlns="http://schemas.openxmlformats.org/spreadsheetml/2006/main" count="422" uniqueCount="369">
  <si>
    <t>Kalasu Home Appliances Private Limited: budget, cash and runway workbook</t>
  </si>
  <si>
    <t>Budget, Burn and Runway, Dissent Advisory. Fictional company; every figure is constructed for teaching. ₹ Cr unless a row says otherwise.</t>
  </si>
  <si>
    <t>How to use</t>
  </si>
  <si>
    <t>1</t>
  </si>
  <si>
    <t>Work alongside the course. Each worked example names the sheet it draws on.</t>
  </si>
  <si>
    <t>2</t>
  </si>
  <si>
    <t>Change a driver on 02_Plan or 03_Days and every later sheet recalculates: the plan, the thirteen weeks, the variance and the runway.</t>
  </si>
  <si>
    <t>3</t>
  </si>
  <si>
    <t>Compare the results with 08_Answer_Check. It flags any figure that differs from the course by more than its tolerance.</t>
  </si>
  <si>
    <t>Colour legend</t>
  </si>
  <si>
    <t>Blue text</t>
  </si>
  <si>
    <t>Typed inputs from the case. Change these, never the formulas.</t>
  </si>
  <si>
    <t>Black text</t>
  </si>
  <si>
    <t>Formulas.</t>
  </si>
  <si>
    <t>Green text</t>
  </si>
  <si>
    <t>Links to another sheet.</t>
  </si>
  <si>
    <t>Yellow fill</t>
  </si>
  <si>
    <t>Assumptions the course invites you to change.</t>
  </si>
  <si>
    <t>Sheets</t>
  </si>
  <si>
    <t>01_Case</t>
  </si>
  <si>
    <t>Company facts, the plan the board approved and the readings the course takes</t>
  </si>
  <si>
    <t>02_Plan</t>
  </si>
  <si>
    <t>FY27 month by month from the drivers, with working capital and cash</t>
  </si>
  <si>
    <t>03_Days</t>
  </si>
  <si>
    <t>Q1 day by day: every receipt and payment on the day it moves</t>
  </si>
  <si>
    <t>04_13_Weeks</t>
  </si>
  <si>
    <t>The thirteen weeks, the floor and the lowest week</t>
  </si>
  <si>
    <t>05_Variance</t>
  </si>
  <si>
    <t>Q1 against the plan, split into volume, mix, price and marketing</t>
  </si>
  <si>
    <t>06_Runway</t>
  </si>
  <si>
    <t>Sixty months of cash against EBITDA, and the month the raise starts</t>
  </si>
  <si>
    <t>07_Spec</t>
  </si>
  <si>
    <t>The statutory calendar and the specification for an AI tool</t>
  </si>
  <si>
    <t>08_Answer_Check</t>
  </si>
  <si>
    <t>Your figures against the course</t>
  </si>
  <si>
    <t>Case facts and the plan the board approved</t>
  </si>
  <si>
    <t>Kalasu Home Appliances Private Limited, Bengaluru. FY27 runs from 1 April 2026 to 31 March 2027.</t>
  </si>
  <si>
    <t>Fact</t>
  </si>
  <si>
    <t>Value</t>
  </si>
  <si>
    <t>Product</t>
  </si>
  <si>
    <t>Small kitchen appliances, GST at 18%</t>
  </si>
  <si>
    <t>GMV the founders quote, FY26</t>
  </si>
  <si>
    <t>₹49.12 Cr</t>
  </si>
  <si>
    <t>Net revenue, FY26</t>
  </si>
  <si>
    <t>₹30.00 Cr: website 40%, marketplaces 45%, quick commerce 15%</t>
  </si>
  <si>
    <t>Contribution after marketing (CM3)</t>
  </si>
  <si>
    <t>₹3.39 Cr (11.3%)</t>
  </si>
  <si>
    <t>EBITDA, FY26</t>
  </si>
  <si>
    <t>Loss of ₹4.53 Cr</t>
  </si>
  <si>
    <t>Series A, April 2025</t>
  </si>
  <si>
    <t>₹40.00 Cr from a domestic Category II AIF</t>
  </si>
  <si>
    <t>Cash and investments, 31 March 2026</t>
  </si>
  <si>
    <t>₹32.59 Cr</t>
  </si>
  <si>
    <t>Framework and tax</t>
  </si>
  <si>
    <t>Accounting Standards; Section 115BAA, now Section 200, 25.168%</t>
  </si>
  <si>
    <t>Headcount</t>
  </si>
  <si>
    <t>50, all in Bengaluru</t>
  </si>
  <si>
    <t>Readings the course takes</t>
  </si>
  <si>
    <t>Runway</t>
  </si>
  <si>
    <t>Measured on cash burn, meaning EBITDA less working capital and capex plus interest, to a minimum of ₹5.00 Cr of cash and investments.</t>
  </si>
  <si>
    <t>Liquidity</t>
  </si>
  <si>
    <t>Current accounts and liquid funds. The ₹20.00 Cr of fixed deposits stays outside the thirteen weeks; the board's floor is ₹8.00 Cr.</t>
  </si>
  <si>
    <t>Marketplace cash</t>
  </si>
  <si>
    <t>Settlements net of commission, closing and shipping fees with GST on them, TCS and TDS, about eleven days after the order.</t>
  </si>
  <si>
    <t>Payables to the small enterprise</t>
  </si>
  <si>
    <t>At 45 days under a written agreement: the ceiling in Section 15 of the MSMED Act.</t>
  </si>
  <si>
    <t>Income tax</t>
  </si>
  <si>
    <t>Section 43B(h) of the 1961 Act to FY 2025-26; Section 37(2)(g) with 37(3) of the 2025 Act from tax year 2026-27.</t>
  </si>
  <si>
    <t>The FY27 operating plan from its drivers</t>
  </si>
  <si>
    <t>Inputs in blue; yellow cells are the levers in Chapter I. Working capital runs on days of flow; cash starts from ₹32.59 Cr.</t>
  </si>
  <si>
    <t>Website new customers</t>
  </si>
  <si>
    <t>Paid share of new customers</t>
  </si>
  <si>
    <t>Paid CAC, ₹</t>
  </si>
  <si>
    <t>Website repeat orders</t>
  </si>
  <si>
    <t>Marketplace kept orders</t>
  </si>
  <si>
    <t>Quick commerce units</t>
  </si>
  <si>
    <t>Retention spend, ₹ Cr</t>
  </si>
  <si>
    <t>Marketplace advertising, share of marketplace revenue</t>
  </si>
  <si>
    <t>Quick commerce visibility, share of its revenue</t>
  </si>
  <si>
    <t>Brand marketing, ₹ Cr</t>
  </si>
  <si>
    <t>Opening headcount</t>
  </si>
  <si>
    <t>Opening people cost, ₹ Cr a month</t>
  </si>
  <si>
    <t>Hires in the year</t>
  </si>
  <si>
    <t>Loaded cost per hire, ₹ Cr a year</t>
  </si>
  <si>
    <t>Other fixed costs, ₹ Cr a month</t>
  </si>
  <si>
    <t>Inventory days, cover of the next three months</t>
  </si>
  <si>
    <t>Quick commerce receivable days</t>
  </si>
  <si>
    <t>Marketplace settlement days outstanding</t>
  </si>
  <si>
    <t>Website gateway and COD days</t>
  </si>
  <si>
    <t>Small enterprise payable days</t>
  </si>
  <si>
    <t>Medium enterprise payable days</t>
  </si>
  <si>
    <t>Interest on cash above the operating balance</t>
  </si>
  <si>
    <t>Operating balance, ₹ Cr</t>
  </si>
  <si>
    <t>Cash and investments, 1 April 2026</t>
  </si>
  <si>
    <t>Inventory, 1 April 2026</t>
  </si>
  <si>
    <t>Receivables, 1 April 2026</t>
  </si>
  <si>
    <t>Product purchases in February and March 2026, ₹ Cr a month</t>
  </si>
  <si>
    <t>Small enterprise share of purchases</t>
  </si>
  <si>
    <t>GST rate</t>
  </si>
  <si>
    <t>Marketplace cash as a share of the invoice with GST</t>
  </si>
  <si>
    <t>Per kept order, ₹, FY26</t>
  </si>
  <si>
    <t>Website</t>
  </si>
  <si>
    <t>Marketplaces</t>
  </si>
  <si>
    <t>Quick commerce</t>
  </si>
  <si>
    <t>Revenue</t>
  </si>
  <si>
    <t>CM2</t>
  </si>
  <si>
    <t>Landed cost and write-offs</t>
  </si>
  <si>
    <t>Payables weight, this month's purchases</t>
  </si>
  <si>
    <t>Payables weight, last month's purchases</t>
  </si>
  <si>
    <t>Payables weight, two months back</t>
  </si>
  <si>
    <t>Product payables, 1 April 2026</t>
  </si>
  <si>
    <t>FY27, ₹ Cr unless stated</t>
  </si>
  <si>
    <t>Apr-26</t>
  </si>
  <si>
    <t>May-26</t>
  </si>
  <si>
    <t>Jun-26</t>
  </si>
  <si>
    <t>Jul-26</t>
  </si>
  <si>
    <t>Aug-26</t>
  </si>
  <si>
    <t>Sep-26</t>
  </si>
  <si>
    <t>Oct-26</t>
  </si>
  <si>
    <t>Nov-26</t>
  </si>
  <si>
    <t>Dec-26</t>
  </si>
  <si>
    <t>Jan-27</t>
  </si>
  <si>
    <t>Feb-27</t>
  </si>
  <si>
    <t>Mar-27</t>
  </si>
  <si>
    <t>FY27</t>
  </si>
  <si>
    <t>Apr-27</t>
  </si>
  <si>
    <t>May-27</t>
  </si>
  <si>
    <t>Jun-27</t>
  </si>
  <si>
    <t>Seasonality, twelfths of the year</t>
  </si>
  <si>
    <t>Brand phasing, share of the year</t>
  </si>
  <si>
    <t>Hiring pace, share of hires</t>
  </si>
  <si>
    <t>Capex</t>
  </si>
  <si>
    <t>Days in month</t>
  </si>
  <si>
    <t>Website kept orders</t>
  </si>
  <si>
    <t>Landed cost of goods sold</t>
  </si>
  <si>
    <t>Paid new customers</t>
  </si>
  <si>
    <t>Performance marketing</t>
  </si>
  <si>
    <t>CM3</t>
  </si>
  <si>
    <t>Brand marketing</t>
  </si>
  <si>
    <t>Hires joining</t>
  </si>
  <si>
    <t>Hired by month end</t>
  </si>
  <si>
    <t>People</t>
  </si>
  <si>
    <t>Other fixed costs</t>
  </si>
  <si>
    <t>EBITDA</t>
  </si>
  <si>
    <t>Headcount at month end</t>
  </si>
  <si>
    <t>Inventory target</t>
  </si>
  <si>
    <t>Purchases</t>
  </si>
  <si>
    <t>Inventory at month end</t>
  </si>
  <si>
    <t>Product payables at month end</t>
  </si>
  <si>
    <t>Receivables at month end</t>
  </si>
  <si>
    <t>Cash absorbed by working capital</t>
  </si>
  <si>
    <t>Interest</t>
  </si>
  <si>
    <t>Cash flow</t>
  </si>
  <si>
    <t>Cash and investments at month end</t>
  </si>
  <si>
    <t>FY27 summary</t>
  </si>
  <si>
    <t>FY27 revenue</t>
  </si>
  <si>
    <t>FY27 CM3</t>
  </si>
  <si>
    <t>FY27 fixed costs</t>
  </si>
  <si>
    <t>FY27 EBITDA</t>
  </si>
  <si>
    <t>FY27 cash burn</t>
  </si>
  <si>
    <t>Cash and investments, 31 March 2027</t>
  </si>
  <si>
    <t>Fixed cost the hires add in FY27</t>
  </si>
  <si>
    <t>Exit run-rate of the hires, a year</t>
  </si>
  <si>
    <t>Q1 FY27 day by day: every receipt and payment on the day it moves</t>
  </si>
  <si>
    <t>Day 0 is Wednesday 1 April 2026. Inputs in blue; yellow cells are the levers in Chapters II and III. ₹ Cr.</t>
  </si>
  <si>
    <t>Opening balances at 31 March 2026, cleared evenly from day 0 to the last day</t>
  </si>
  <si>
    <t>₹ Cr</t>
  </si>
  <si>
    <t>Last day</t>
  </si>
  <si>
    <t>Marketplace: days from order to settlement</t>
  </si>
  <si>
    <t>Receivable, gateway and COD, account 1403</t>
  </si>
  <si>
    <t>Marketplace receipts at gross on the order date (1) or net and late (0)</t>
  </si>
  <si>
    <t>Receivable, marketplace settlements, account 1401</t>
  </si>
  <si>
    <t>Quick commerce payment days</t>
  </si>
  <si>
    <t>Receivable, quick commerce, account 1402</t>
  </si>
  <si>
    <t>Small enterprise payment days</t>
  </si>
  <si>
    <t>Payable, small enterprise within 45 days, account 2401</t>
  </si>
  <si>
    <t>Week the withheld ₹0.20 Cr batch is paid (0 holds it)</t>
  </si>
  <si>
    <t>Payable, medium enterprise, account 2404</t>
  </si>
  <si>
    <t>Share of purchase credit in GSTR-2B in the month</t>
  </si>
  <si>
    <t>Payable, logistics and packaging, accounts 2403 and 2405</t>
  </si>
  <si>
    <t>Statutory rows in the forecast (1) or left out (0)</t>
  </si>
  <si>
    <t>Payable beyond 45 days, the withheld batch, account 2402</t>
  </si>
  <si>
    <t>Week the festive advance is paid (0 defers it)</t>
  </si>
  <si>
    <t>Days the withheld batch is already overdue at 1 April</t>
  </si>
  <si>
    <t>Festive advance, ₹ Cr</t>
  </si>
  <si>
    <t>Statutory days: TDS day 29 (30 Apr), 36 (7 May), 67 (7 Jun); PF and ESI 14, 44, 75; PT and GST 19, 49, 80</t>
  </si>
  <si>
    <t>RBI bank rate</t>
  </si>
  <si>
    <t>Liquidity, 1 April 2026</t>
  </si>
  <si>
    <t>Board floor for liquidity</t>
  </si>
  <si>
    <t>Website cash per kept order, ₹</t>
  </si>
  <si>
    <t>Marketplace settlement per kept order, ₹</t>
  </si>
  <si>
    <t>Marketplace invoice per kept order with GST, ₹</t>
  </si>
  <si>
    <t>Quick commerce invoice per unit with GST, ₹</t>
  </si>
  <si>
    <t>Fulfilment paid out per website order, ₹</t>
  </si>
  <si>
    <t>Fulfilment paid out per marketplace order, ₹</t>
  </si>
  <si>
    <t>Fulfilment paid out per quick commerce unit, ₹</t>
  </si>
  <si>
    <t>Marketplace fees per kept order, ₹</t>
  </si>
  <si>
    <t>Payroll: net pay share</t>
  </si>
  <si>
    <t>Payroll: TDS share</t>
  </si>
  <si>
    <t>Payroll: PF share</t>
  </si>
  <si>
    <t>Payroll: ESI share</t>
  </si>
  <si>
    <t>Payroll: professional tax share</t>
  </si>
  <si>
    <t>March 2026 TDS, due 30 April</t>
  </si>
  <si>
    <t>March 2026 PF, due 15 April</t>
  </si>
  <si>
    <t>March 2026 ESI, due 15 April</t>
  </si>
  <si>
    <t>March 2026 professional tax, due 20 April</t>
  </si>
  <si>
    <t>March 2026 GST, Maharashtra GSTIN, due 20 April</t>
  </si>
  <si>
    <t>Liquid funds, ₹ Cr</t>
  </si>
  <si>
    <t>Credit brought forward, Karnataka GSTIN</t>
  </si>
  <si>
    <t>Credit waiting for GSTR-2B, Maharashtra GSTIN</t>
  </si>
  <si>
    <t>TCS rate on marketplace sales, CGST and SGST together</t>
  </si>
  <si>
    <t>Q1 months from 02_Plan</t>
  </si>
  <si>
    <t>April</t>
  </si>
  <si>
    <t>May</t>
  </si>
  <si>
    <t>June</t>
  </si>
  <si>
    <t>First day of the month</t>
  </si>
  <si>
    <t>Last working day: salaries and brand</t>
  </si>
  <si>
    <t>GST for the returns in the quarter</t>
  </si>
  <si>
    <t>April return</t>
  </si>
  <si>
    <t>May return</t>
  </si>
  <si>
    <t>Output tax</t>
  </si>
  <si>
    <t>Input tax credit earned</t>
  </si>
  <si>
    <t>TCS credited</t>
  </si>
  <si>
    <t>Credit eligible this month</t>
  </si>
  <si>
    <t>Credit deferred to next month</t>
  </si>
  <si>
    <t>Net before carried credit</t>
  </si>
  <si>
    <t>Credit carried forward</t>
  </si>
  <si>
    <t>GST paid in cash</t>
  </si>
  <si>
    <t>Section 16 interest on the withheld batch</t>
  </si>
  <si>
    <t>Day</t>
  </si>
  <si>
    <t>Date</t>
  </si>
  <si>
    <t>Week</t>
  </si>
  <si>
    <t>Month</t>
  </si>
  <si>
    <t>Website orders</t>
  </si>
  <si>
    <t>Marketplace orders</t>
  </si>
  <si>
    <t>Fulfilment with GST</t>
  </si>
  <si>
    <t>Marketing with GST</t>
  </si>
  <si>
    <t>Website receipts</t>
  </si>
  <si>
    <t>Marketplace receipts</t>
  </si>
  <si>
    <t>Quick commerce receipts</t>
  </si>
  <si>
    <t>Small enterprise</t>
  </si>
  <si>
    <t>Medium enterprise</t>
  </si>
  <si>
    <t>Withheld batch</t>
  </si>
  <si>
    <t>Fulfilment</t>
  </si>
  <si>
    <t>Marketing</t>
  </si>
  <si>
    <t>Net pay</t>
  </si>
  <si>
    <t>GST</t>
  </si>
  <si>
    <t>TDS</t>
  </si>
  <si>
    <t>PF and ESI</t>
  </si>
  <si>
    <t>Professional tax</t>
  </si>
  <si>
    <t>Overheads</t>
  </si>
  <si>
    <t>Festive advance</t>
  </si>
  <si>
    <t>Receipts</t>
  </si>
  <si>
    <t>Payments</t>
  </si>
  <si>
    <t>Net</t>
  </si>
  <si>
    <t>Thirteen weeks from 1 April 2026</t>
  </si>
  <si>
    <t>Weeks run from Wednesday to Tuesday; the thirteenth ends on 30 June 2026. Sums of 03_Days by week. ₹ Cr.</t>
  </si>
  <si>
    <t>Line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</si>
  <si>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</si>
  <si>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</si>
  <si>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</si>
  <si>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</si>
  <si>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</si>
  <si>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</si>
  <si>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</si>
  <si>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</si>
  <si>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</si>
  <si>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</si>
  <si>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</si>
  <si>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</si>
  <si>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</si>
  <si>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Q1</t>
  </si>
  <si>
    <t>Week starting</t>
  </si>
  <si>
    <t>Opening liquidity</t>
  </si>
  <si>
    <t>Small enterprise manufacturer</t>
  </si>
  <si>
    <t>Medium enterprise manufacturer</t>
  </si>
  <si>
    <t>Withheld batch and interest</t>
  </si>
  <si>
    <t>Fulfilment, logistics and packaging</t>
  </si>
  <si>
    <t>Salaries, net pay</t>
  </si>
  <si>
    <t>Rent, technology and overheads</t>
  </si>
  <si>
    <t>Closing liquidity</t>
  </si>
  <si>
    <t>Headroom over the floor</t>
  </si>
  <si>
    <t>The quarter</t>
  </si>
  <si>
    <t>Liquidity at 30 June 2026</t>
  </si>
  <si>
    <t>Lowest week-end liquidity</t>
  </si>
  <si>
    <t>Week of the lowest</t>
  </si>
  <si>
    <t>Lowest week headroom over the floor</t>
  </si>
  <si>
    <t>Statutory payments in the quarter</t>
  </si>
  <si>
    <t>Q1 FY27 against the plan: volume, mix, price and marketing</t>
  </si>
  <si>
    <t>Budget from 02_Plan; actual orders and rates in blue. CM2 per order is FY26 except marketplaces, at the actual price support.</t>
  </si>
  <si>
    <t>Channel</t>
  </si>
  <si>
    <t>Budget orders</t>
  </si>
  <si>
    <t>Actual orders</t>
  </si>
  <si>
    <t>Budget CM2 per order, ₹</t>
  </si>
  <si>
    <t>Actual CM2 per order, ₹</t>
  </si>
  <si>
    <t>Revenue per order, ₹</t>
  </si>
  <si>
    <t>Total</t>
  </si>
  <si>
    <t>Website acquisition spend, ₹ Cr</t>
  </si>
  <si>
    <t>Marketplace advertising, share of revenue</t>
  </si>
  <si>
    <t>Quick commerce visibility, share of revenue</t>
  </si>
  <si>
    <t>Budget CM2</t>
  </si>
  <si>
    <t>Actual CM2</t>
  </si>
  <si>
    <t>Volume effect</t>
  </si>
  <si>
    <t>Mix effect</t>
  </si>
  <si>
    <t>Price effect</t>
  </si>
  <si>
    <t>Budget performance marketing</t>
  </si>
  <si>
    <t>Actual performance marketing</t>
  </si>
  <si>
    <t>Marketing effect</t>
  </si>
  <si>
    <t>Budget CM3</t>
  </si>
  <si>
    <t>Actual CM3</t>
  </si>
  <si>
    <t>Q1 CM3 variance</t>
  </si>
  <si>
    <t>Check: effects add to the variance (zero)</t>
  </si>
  <si>
    <t>Revenue against budget</t>
  </si>
  <si>
    <t>Runway: seventy-two months of cash against EBITDA</t>
  </si>
  <si>
    <t>Months 1 to 12 are 02_Plan. After FY27 volumes grow at the rate below on the FY27 pattern; fixed costs hold at March 2027. ₹ Cr.</t>
  </si>
  <si>
    <t>Growth in volumes a year after FY27</t>
  </si>
  <si>
    <t>Minimum cash and investments</t>
  </si>
  <si>
    <t>Capex a year after FY27</t>
  </si>
  <si>
    <t>Working capital at 31 March 2027</t>
  </si>
  <si>
    <t>Runway on cash burn, months</t>
  </si>
  <si>
    <t>Runway on EBITDA burn, months</t>
  </si>
  <si>
    <t>Month in the year</t>
  </si>
  <si>
    <t>Working capital</t>
  </si>
  <si>
    <t>Cash and investments</t>
  </si>
  <si>
    <t>Cash on the EBITDA view</t>
  </si>
  <si>
    <t>Below minimum, cash</t>
  </si>
  <si>
    <t>Below minimum, EBITDA view</t>
  </si>
  <si>
    <t>From Chapters II and III. Paste the specification into an AI tool with this workbook attached.</t>
  </si>
  <si>
    <t>Due</t>
  </si>
  <si>
    <t>Law</t>
  </si>
  <si>
    <t>TDS on salaries and contractors</t>
  </si>
  <si>
    <t>7th; March by 30 April</t>
  </si>
  <si>
    <t>Income-tax Act and Rules; 1961 Act to FY 2025-26, 2025 Act from tax year 2026-27</t>
  </si>
  <si>
    <t>GSTR-1</t>
  </si>
  <si>
    <t>11th; a return, not a payment</t>
  </si>
  <si>
    <t>CGST Act, Section 37</t>
  </si>
  <si>
    <t>GSTR-3B with payment</t>
  </si>
  <si>
    <t>20th, for turnover above ₹5 Cr</t>
  </si>
  <si>
    <t>CGST Act, Section 39</t>
  </si>
  <si>
    <t>PF</t>
  </si>
  <si>
    <t>15th</t>
  </si>
  <si>
    <t>Employees' Provident Funds Scheme, 2026, under the Code on Social Security</t>
  </si>
  <si>
    <t>ESI</t>
  </si>
  <si>
    <t>ESI contributions under the Code on Social Security</t>
  </si>
  <si>
    <t>Professional tax, Karnataka</t>
  </si>
  <si>
    <t>20th</t>
  </si>
  <si>
    <t>Karnataka Tax on Professions Act</t>
  </si>
  <si>
    <t>Advance tax</t>
  </si>
  <si>
    <t>15 June, September, December, March: 15%, 45%, 75%, 100%</t>
  </si>
  <si>
    <t>Income-tax Act, 2025, Sections 404 and 408</t>
  </si>
  <si>
    <t>Small enterprise payables</t>
  </si>
  <si>
    <t>45 days from acceptance</t>
  </si>
  <si>
    <t>MSMED Act, Sections 15, 16 and 23; Form I half-yearly</t>
  </si>
  <si>
    <t>Specification for an AI tool</t>
  </si>
  <si>
    <t>Method</t>
  </si>
  <si>
    <t>Direct method, thirteen weeks from Wednesday 1 April 2026, from 03_Days and 04_13_Weeks only.</t>
  </si>
  <si>
    <t>Marketplace receipts are settlements, net and about eleven days after the order; never invoices at gross.</t>
  </si>
  <si>
    <t>Small enterprise at 45 days; statutory dues on their dates; opening receivables and payables included.</t>
  </si>
  <si>
    <t>Outputs</t>
  </si>
  <si>
    <t>Weekly table, lowest week and headroom over ₹8.00 Cr, the FY27 plan by quarter, the Q1 bridge and runway on cash burn to ₹5.00 Cr.</t>
  </si>
  <si>
    <t>Answer check</t>
  </si>
  <si>
    <t>Course figures against this workbook's formulas. A status of Agrees means the difference is within the tolerance.</t>
  </si>
  <si>
    <t>Figure</t>
  </si>
  <si>
    <t>Course figure</t>
  </si>
  <si>
    <t>This workbook</t>
  </si>
  <si>
    <t>Difference</t>
  </si>
  <si>
    <t>Status</t>
  </si>
  <si>
    <t>Tolerance</t>
  </si>
  <si>
    <t>Q1 mix effect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</si>
</sst>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\(#,##0\);&quot;-&quot;"/>
    <numFmt numFmtId="165" formatCode="0.0%;\(0.0%\);&quot;-&quot;"/>
    <numFmt numFmtId="166" formatCode="#,##0.00;\(#,##0.00\);&quot;-&quot;"/>
    <numFmt numFmtId="167" formatCode="0.0000"/>
    <numFmt numFmtId="168" formatCode="0.0%"/>
    <numFmt numFmtId="169" formatCode="0.000000"/>
    <numFmt numFmtId="170" formatCode="dd\ mmm"/>
  </numFmts>
  <fonts count="8" x14ac:knownFonts="1">
    <font>
      <sz val="11"/>
      <color theme="1"/>
      <name val="Calibri"/>
      <family val="2"/>
      <scheme val="minor"/>
    </font>
    <font>
      <b/>
      <sz val="14"/>
      <color rgb="FFF3F4F5"/>
      <name val="Arial"/>
    </font>
    <font>
      <sz val="9"/>
      <color rgb="FF41627D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FF"/>
      <name val="Arial"/>
    </font>
    <font>
      <sz val="10"/>
      <color rgb="FF008000"/>
      <name val="Arial"/>
    </font>
    <font>
      <b/>
      <sz val="10"/>
      <color rgb="FF008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C0C0F"/>
      </patternFill>
    </fill>
    <fill>
      <patternFill patternType="solid">
        <fgColor rgb="FFFFFF00"/>
      </patternFill>
    </fill>
    <fill>
      <patternFill patternType="solid">
        <fgColor rgb="FFEAEB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4" fontId="5" fillId="3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6" fontId="5" fillId="3" borderId="0" xfId="0" applyNumberFormat="1" applyFont="1" applyFill="1" applyAlignment="1">
      <alignment horizontal="right"/>
    </xf>
    <xf numFmtId="167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5" fontId="5" fillId="3" borderId="0" xfId="0" applyNumberFormat="1" applyFont="1" applyFill="1" applyAlignment="1">
      <alignment horizontal="right"/>
    </xf>
    <xf numFmtId="168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9" fontId="4" fillId="0" borderId="0" xfId="0" applyNumberFormat="1" applyFont="1" applyAlignment="1">
      <alignment horizontal="right"/>
    </xf>
    <xf numFmtId="170" fontId="4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/>
  </sheetViews>
  <sheetFormatPr defaultRowHeight="14.5" x14ac:dyDescent="0.35"/>
  <cols>
    <col min="1" max="1" width="18" customWidth="1"/>
    <col min="2" max="2" width="110" customWidth="1"/>
  </cols>
  <sheetData>
    <row r="1" spans="1:2" ht="24" customHeight="1" x14ac:dyDescent="0.4">
      <c r="A1" s="1" t="s">
        <v>0</v>
      </c>
      <c r="B1" s="2"/>
    </row>
    <row r="2" spans="1:2" x14ac:dyDescent="0.35">
      <c r="A2" s="3" t="s">
        <v>1</v>
      </c>
    </row>
    <row r="4" spans="1:2" x14ac:dyDescent="0.35">
      <c r="A4" s="4" t="s">
        <v>2</v>
      </c>
    </row>
    <row r="5" spans="1:2" x14ac:dyDescent="0.35">
      <c r="A5" s="5" t="s">
        <v>3</v>
      </c>
      <c r="B5" s="5" t="s">
        <v>4</v>
      </c>
    </row>
    <row r="6" spans="1:2" x14ac:dyDescent="0.35">
      <c r="A6" s="5" t="s">
        <v>5</v>
      </c>
      <c r="B6" s="5" t="s">
        <v>6</v>
      </c>
    </row>
    <row r="7" spans="1:2" x14ac:dyDescent="0.35">
      <c r="A7" s="5" t="s">
        <v>7</v>
      </c>
      <c r="B7" s="5" t="s">
        <v>8</v>
      </c>
    </row>
    <row r="9" spans="1:2" x14ac:dyDescent="0.35">
      <c r="A9" s="4" t="s">
        <v>9</v>
      </c>
    </row>
    <row r="10" spans="1:2" x14ac:dyDescent="0.35">
      <c r="A10" s="6" t="s">
        <v>10</v>
      </c>
      <c r="B10" s="5" t="s">
        <v>11</v>
      </c>
    </row>
    <row r="11" spans="1:2" x14ac:dyDescent="0.35">
      <c r="A11" s="5" t="s">
        <v>12</v>
      </c>
      <c r="B11" s="5" t="s">
        <v>13</v>
      </c>
    </row>
    <row r="12" spans="1:2" x14ac:dyDescent="0.35">
      <c r="A12" s="7" t="s">
        <v>14</v>
      </c>
      <c r="B12" s="5" t="s">
        <v>15</v>
      </c>
    </row>
    <row r="13" spans="1:2" x14ac:dyDescent="0.35">
      <c r="A13" s="8" t="s">
        <v>16</v>
      </c>
      <c r="B13" s="5" t="s">
        <v>17</v>
      </c>
    </row>
    <row r="15" spans="1:2" x14ac:dyDescent="0.35">
      <c r="A15" s="4" t="s">
        <v>18</v>
      </c>
    </row>
    <row r="16" spans="1:2" x14ac:dyDescent="0.35">
      <c r="A16" s="5" t="s">
        <v>19</v>
      </c>
      <c r="B16" s="5" t="s">
        <v>20</v>
      </c>
    </row>
    <row r="17" spans="1:2" x14ac:dyDescent="0.35">
      <c r="A17" s="5" t="s">
        <v>21</v>
      </c>
      <c r="B17" s="5" t="s">
        <v>22</v>
      </c>
    </row>
    <row r="18" spans="1:2" x14ac:dyDescent="0.35">
      <c r="A18" s="5" t="s">
        <v>23</v>
      </c>
      <c r="B18" s="5" t="s">
        <v>24</v>
      </c>
    </row>
    <row r="19" spans="1:2" x14ac:dyDescent="0.35">
      <c r="A19" s="5" t="s">
        <v>25</v>
      </c>
      <c r="B19" s="5" t="s">
        <v>26</v>
      </c>
    </row>
    <row r="20" spans="1:2" x14ac:dyDescent="0.35">
      <c r="A20" s="5" t="s">
        <v>27</v>
      </c>
      <c r="B20" s="5" t="s">
        <v>28</v>
      </c>
    </row>
    <row r="21" spans="1:2" x14ac:dyDescent="0.35">
      <c r="A21" s="5" t="s">
        <v>29</v>
      </c>
      <c r="B21" s="5" t="s">
        <v>30</v>
      </c>
    </row>
    <row r="22" spans="1:2" x14ac:dyDescent="0.35">
      <c r="A22" s="5" t="s">
        <v>31</v>
      </c>
      <c r="B22" s="5" t="s">
        <v>32</v>
      </c>
    </row>
    <row r="23" spans="1:2" x14ac:dyDescent="0.35">
      <c r="A23" s="5" t="s">
        <v>33</v>
      </c>
      <c r="B23" s="5" t="s">
        <v>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4.5" x14ac:dyDescent="0.35"/>
  <cols>
    <col min="1" max="1" width="34" customWidth="1"/>
    <col min="2" max="2" width="100" customWidth="1"/>
  </cols>
  <sheetData>
    <row r="1" spans="1:2" ht="24" customHeight="1" x14ac:dyDescent="0.4">
      <c r="A1" s="1" t="s">
        <v>35</v>
      </c>
      <c r="B1" s="2"/>
    </row>
    <row r="2" spans="1:2" x14ac:dyDescent="0.35">
      <c r="A2" s="3" t="s">
        <v>36</v>
      </c>
    </row>
    <row r="3" spans="1:2" x14ac:dyDescent="0.35">
      <c r="A3" s="9" t="s">
        <v>37</v>
      </c>
      <c r="B3" s="10" t="s">
        <v>38</v>
      </c>
    </row>
    <row r="4" spans="1:2" x14ac:dyDescent="0.35">
      <c r="A4" s="5" t="s">
        <v>39</v>
      </c>
      <c r="B4" s="5" t="s">
        <v>40</v>
      </c>
    </row>
    <row r="5" spans="1:2" x14ac:dyDescent="0.35">
      <c r="A5" s="5" t="s">
        <v>41</v>
      </c>
      <c r="B5" s="5" t="s">
        <v>42</v>
      </c>
    </row>
    <row r="6" spans="1:2" x14ac:dyDescent="0.35">
      <c r="A6" s="5" t="s">
        <v>43</v>
      </c>
      <c r="B6" s="5" t="s">
        <v>44</v>
      </c>
    </row>
    <row r="7" spans="1:2" x14ac:dyDescent="0.35">
      <c r="A7" s="5" t="s">
        <v>45</v>
      </c>
      <c r="B7" s="5" t="s">
        <v>46</v>
      </c>
    </row>
    <row r="8" spans="1:2" x14ac:dyDescent="0.35">
      <c r="A8" s="5" t="s">
        <v>47</v>
      </c>
      <c r="B8" s="5" t="s">
        <v>48</v>
      </c>
    </row>
    <row r="9" spans="1:2" x14ac:dyDescent="0.35">
      <c r="A9" s="5" t="s">
        <v>49</v>
      </c>
      <c r="B9" s="5" t="s">
        <v>50</v>
      </c>
    </row>
    <row r="10" spans="1:2" x14ac:dyDescent="0.35">
      <c r="A10" s="5" t="s">
        <v>51</v>
      </c>
      <c r="B10" s="5" t="s">
        <v>52</v>
      </c>
    </row>
    <row r="11" spans="1:2" x14ac:dyDescent="0.35">
      <c r="A11" s="5" t="s">
        <v>53</v>
      </c>
      <c r="B11" s="5" t="s">
        <v>54</v>
      </c>
    </row>
    <row r="12" spans="1:2" x14ac:dyDescent="0.35">
      <c r="A12" s="5" t="s">
        <v>55</v>
      </c>
      <c r="B12" s="5" t="s">
        <v>56</v>
      </c>
    </row>
    <row r="14" spans="1:2" x14ac:dyDescent="0.35">
      <c r="A14" s="4" t="s">
        <v>57</v>
      </c>
    </row>
    <row r="15" spans="1:2" ht="25" x14ac:dyDescent="0.35">
      <c r="A15" s="11" t="s">
        <v>58</v>
      </c>
      <c r="B15" s="5" t="s">
        <v>59</v>
      </c>
    </row>
    <row r="16" spans="1:2" ht="25" x14ac:dyDescent="0.35">
      <c r="A16" s="11" t="s">
        <v>60</v>
      </c>
      <c r="B16" s="5" t="s">
        <v>61</v>
      </c>
    </row>
    <row r="17" spans="1:2" ht="25" x14ac:dyDescent="0.35">
      <c r="A17" s="11" t="s">
        <v>62</v>
      </c>
      <c r="B17" s="5" t="s">
        <v>63</v>
      </c>
    </row>
    <row r="18" spans="1:2" x14ac:dyDescent="0.35">
      <c r="A18" s="11" t="s">
        <v>64</v>
      </c>
      <c r="B18" s="5" t="s">
        <v>65</v>
      </c>
    </row>
    <row r="19" spans="1:2" x14ac:dyDescent="0.35">
      <c r="A19" s="11" t="s">
        <v>66</v>
      </c>
      <c r="B19" s="5" t="s">
        <v>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5"/>
  <sheetViews>
    <sheetView workbookViewId="0">
      <pane xSplit="2" ySplit="45" topLeftCell="C46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50" customWidth="1"/>
    <col min="2" max="2" width="13" customWidth="1"/>
    <col min="3" max="18" width="10" customWidth="1"/>
  </cols>
  <sheetData>
    <row r="1" spans="1:15" ht="24" customHeight="1" x14ac:dyDescent="0.4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5">
      <c r="A2" s="3" t="s">
        <v>69</v>
      </c>
    </row>
    <row r="4" spans="1:15" x14ac:dyDescent="0.35">
      <c r="A4" s="5" t="s">
        <v>70</v>
      </c>
      <c r="B4" s="12">
        <v>60000</v>
      </c>
    </row>
    <row r="5" spans="1:15" x14ac:dyDescent="0.35">
      <c r="A5" s="5" t="s">
        <v>71</v>
      </c>
      <c r="B5" s="13">
        <v>0.75</v>
      </c>
    </row>
    <row r="6" spans="1:15" x14ac:dyDescent="0.35">
      <c r="A6" s="5" t="s">
        <v>72</v>
      </c>
      <c r="B6" s="12">
        <v>1400</v>
      </c>
    </row>
    <row r="7" spans="1:15" x14ac:dyDescent="0.35">
      <c r="A7" s="5" t="s">
        <v>73</v>
      </c>
      <c r="B7" s="14">
        <v>16000</v>
      </c>
    </row>
    <row r="8" spans="1:15" x14ac:dyDescent="0.35">
      <c r="A8" s="5" t="s">
        <v>74</v>
      </c>
      <c r="B8" s="12">
        <v>90000</v>
      </c>
    </row>
    <row r="9" spans="1:15" x14ac:dyDescent="0.35">
      <c r="A9" s="5" t="s">
        <v>75</v>
      </c>
      <c r="B9" s="12">
        <v>50000</v>
      </c>
    </row>
    <row r="10" spans="1:15" x14ac:dyDescent="0.35">
      <c r="A10" s="5" t="s">
        <v>76</v>
      </c>
      <c r="B10" s="15">
        <v>0.9</v>
      </c>
    </row>
    <row r="11" spans="1:15" x14ac:dyDescent="0.35">
      <c r="A11" s="5" t="s">
        <v>77</v>
      </c>
      <c r="B11" s="13">
        <v>0.12</v>
      </c>
    </row>
    <row r="12" spans="1:15" x14ac:dyDescent="0.35">
      <c r="A12" s="5" t="s">
        <v>78</v>
      </c>
      <c r="B12" s="13">
        <v>0.08</v>
      </c>
    </row>
    <row r="13" spans="1:15" x14ac:dyDescent="0.35">
      <c r="A13" s="5" t="s">
        <v>79</v>
      </c>
      <c r="B13" s="16">
        <v>3</v>
      </c>
    </row>
    <row r="14" spans="1:15" x14ac:dyDescent="0.35">
      <c r="A14" s="5" t="s">
        <v>80</v>
      </c>
      <c r="B14" s="14">
        <v>50</v>
      </c>
    </row>
    <row r="15" spans="1:15" x14ac:dyDescent="0.35">
      <c r="A15" s="5" t="s">
        <v>81</v>
      </c>
      <c r="B15" s="15">
        <v>0.47</v>
      </c>
    </row>
    <row r="16" spans="1:15" x14ac:dyDescent="0.35">
      <c r="A16" s="5" t="s">
        <v>82</v>
      </c>
      <c r="B16" s="12">
        <v>30</v>
      </c>
    </row>
    <row r="17" spans="1:2" x14ac:dyDescent="0.35">
      <c r="A17" s="5" t="s">
        <v>83</v>
      </c>
      <c r="B17" s="16">
        <v>0.18</v>
      </c>
    </row>
    <row r="18" spans="1:2" x14ac:dyDescent="0.35">
      <c r="A18" s="5" t="s">
        <v>84</v>
      </c>
      <c r="B18" s="15">
        <v>0.21</v>
      </c>
    </row>
    <row r="19" spans="1:2" x14ac:dyDescent="0.35">
      <c r="A19" s="5" t="s">
        <v>85</v>
      </c>
      <c r="B19" s="14">
        <v>100</v>
      </c>
    </row>
    <row r="20" spans="1:2" x14ac:dyDescent="0.35">
      <c r="A20" s="5" t="s">
        <v>86</v>
      </c>
      <c r="B20" s="14">
        <v>45</v>
      </c>
    </row>
    <row r="21" spans="1:2" x14ac:dyDescent="0.35">
      <c r="A21" s="5" t="s">
        <v>87</v>
      </c>
      <c r="B21" s="14">
        <v>21</v>
      </c>
    </row>
    <row r="22" spans="1:2" x14ac:dyDescent="0.35">
      <c r="A22" s="5" t="s">
        <v>88</v>
      </c>
      <c r="B22" s="14">
        <v>3</v>
      </c>
    </row>
    <row r="23" spans="1:2" x14ac:dyDescent="0.35">
      <c r="A23" s="5" t="s">
        <v>89</v>
      </c>
      <c r="B23" s="14">
        <v>45</v>
      </c>
    </row>
    <row r="24" spans="1:2" x14ac:dyDescent="0.35">
      <c r="A24" s="5" t="s">
        <v>90</v>
      </c>
      <c r="B24" s="14">
        <v>60</v>
      </c>
    </row>
    <row r="25" spans="1:2" x14ac:dyDescent="0.35">
      <c r="A25" s="5" t="s">
        <v>91</v>
      </c>
      <c r="B25" s="13">
        <v>0.06</v>
      </c>
    </row>
    <row r="26" spans="1:2" x14ac:dyDescent="0.35">
      <c r="A26" s="5" t="s">
        <v>92</v>
      </c>
      <c r="B26" s="15">
        <v>2.59</v>
      </c>
    </row>
    <row r="27" spans="1:2" x14ac:dyDescent="0.35">
      <c r="A27" s="5" t="s">
        <v>93</v>
      </c>
      <c r="B27" s="15">
        <v>32.590000000000018</v>
      </c>
    </row>
    <row r="28" spans="1:2" x14ac:dyDescent="0.35">
      <c r="A28" s="5" t="s">
        <v>94</v>
      </c>
      <c r="B28" s="15">
        <v>4.5</v>
      </c>
    </row>
    <row r="29" spans="1:2" x14ac:dyDescent="0.35">
      <c r="A29" s="5" t="s">
        <v>95</v>
      </c>
      <c r="B29" s="15">
        <v>1.5</v>
      </c>
    </row>
    <row r="30" spans="1:2" ht="25" x14ac:dyDescent="0.35">
      <c r="A30" s="5" t="s">
        <v>96</v>
      </c>
      <c r="B30" s="17">
        <v>1.51219512195122</v>
      </c>
    </row>
    <row r="31" spans="1:2" x14ac:dyDescent="0.35">
      <c r="A31" s="5" t="s">
        <v>97</v>
      </c>
      <c r="B31" s="13">
        <v>0.72</v>
      </c>
    </row>
    <row r="32" spans="1:2" x14ac:dyDescent="0.35">
      <c r="A32" s="5" t="s">
        <v>98</v>
      </c>
      <c r="B32" s="13">
        <v>0.18</v>
      </c>
    </row>
    <row r="33" spans="1:18" x14ac:dyDescent="0.35">
      <c r="A33" s="5" t="s">
        <v>99</v>
      </c>
      <c r="B33" s="17">
        <v>0.74319673571876954</v>
      </c>
    </row>
    <row r="35" spans="1:18" ht="26" x14ac:dyDescent="0.35">
      <c r="A35" s="9" t="s">
        <v>100</v>
      </c>
      <c r="B35" s="10" t="s">
        <v>101</v>
      </c>
      <c r="C35" s="10" t="s">
        <v>102</v>
      </c>
      <c r="D35" s="10" t="s">
        <v>103</v>
      </c>
    </row>
    <row r="36" spans="1:18" x14ac:dyDescent="0.35">
      <c r="A36" s="5" t="s">
        <v>104</v>
      </c>
      <c r="B36" s="18">
        <v>2400</v>
      </c>
      <c r="C36" s="18">
        <v>2250</v>
      </c>
      <c r="D36" s="18">
        <v>1800</v>
      </c>
    </row>
    <row r="37" spans="1:18" x14ac:dyDescent="0.35">
      <c r="A37" s="5" t="s">
        <v>105</v>
      </c>
      <c r="B37" s="18">
        <v>1061.2670000000001</v>
      </c>
      <c r="C37" s="18">
        <v>524.9666666666667</v>
      </c>
      <c r="D37" s="18">
        <v>684.4000000000002</v>
      </c>
    </row>
    <row r="38" spans="1:18" x14ac:dyDescent="0.35">
      <c r="A38" s="5" t="s">
        <v>106</v>
      </c>
      <c r="B38" s="18">
        <v>1010</v>
      </c>
      <c r="C38" s="18">
        <v>1040</v>
      </c>
      <c r="D38" s="18">
        <v>1004</v>
      </c>
    </row>
    <row r="40" spans="1:18" x14ac:dyDescent="0.35">
      <c r="A40" s="5" t="s">
        <v>107</v>
      </c>
      <c r="B40" s="19">
        <f>B31*MIN(1,MAX(0,B23/30))+(1-B31)*MIN(1,MAX(0,B24/30))</f>
        <v>1</v>
      </c>
    </row>
    <row r="41" spans="1:18" x14ac:dyDescent="0.35">
      <c r="A41" s="5" t="s">
        <v>108</v>
      </c>
      <c r="B41" s="19">
        <f>B31*MIN(1,MAX(0,(B23-30)/30))+(1-B31)*MIN(1,MAX(0,(B24-30)/30))</f>
        <v>0.64</v>
      </c>
    </row>
    <row r="42" spans="1:18" x14ac:dyDescent="0.35">
      <c r="A42" s="5" t="s">
        <v>109</v>
      </c>
      <c r="B42" s="19">
        <f>B31*MIN(1,MAX(0,(B23-60)/30))+(1-B31)*MIN(1,MAX(0,(B24-60)/30))</f>
        <v>0</v>
      </c>
    </row>
    <row r="43" spans="1:18" x14ac:dyDescent="0.35">
      <c r="A43" s="5" t="s">
        <v>110</v>
      </c>
      <c r="B43" s="20">
        <f>B30*(B40+B41+B42)</f>
        <v>2.4800000000000009</v>
      </c>
    </row>
    <row r="45" spans="1:18" x14ac:dyDescent="0.35">
      <c r="A45" s="9" t="s">
        <v>111</v>
      </c>
      <c r="B45" s="10"/>
      <c r="C45" s="10" t="s">
        <v>112</v>
      </c>
      <c r="D45" s="10" t="s">
        <v>113</v>
      </c>
      <c r="E45" s="10" t="s">
        <v>114</v>
      </c>
      <c r="F45" s="10" t="s">
        <v>115</v>
      </c>
      <c r="G45" s="10" t="s">
        <v>116</v>
      </c>
      <c r="H45" s="10" t="s">
        <v>117</v>
      </c>
      <c r="I45" s="10" t="s">
        <v>118</v>
      </c>
      <c r="J45" s="10" t="s">
        <v>119</v>
      </c>
      <c r="K45" s="10" t="s">
        <v>120</v>
      </c>
      <c r="L45" s="10" t="s">
        <v>121</v>
      </c>
      <c r="M45" s="10" t="s">
        <v>122</v>
      </c>
      <c r="N45" s="10" t="s">
        <v>123</v>
      </c>
      <c r="O45" s="10" t="s">
        <v>124</v>
      </c>
      <c r="P45" s="10" t="s">
        <v>125</v>
      </c>
      <c r="Q45" s="10" t="s">
        <v>126</v>
      </c>
      <c r="R45" s="10" t="s">
        <v>127</v>
      </c>
    </row>
    <row r="46" spans="1:18" x14ac:dyDescent="0.35">
      <c r="A46" s="5" t="s">
        <v>128</v>
      </c>
      <c r="C46" s="21">
        <v>0.85</v>
      </c>
      <c r="D46" s="21">
        <v>0.85</v>
      </c>
      <c r="E46" s="21">
        <v>0.9</v>
      </c>
      <c r="F46" s="21">
        <v>0.9</v>
      </c>
      <c r="G46" s="21">
        <v>0.95</v>
      </c>
      <c r="H46" s="21">
        <v>1.05</v>
      </c>
      <c r="I46" s="21">
        <v>1.2</v>
      </c>
      <c r="J46" s="21">
        <v>1.5</v>
      </c>
      <c r="K46" s="21">
        <v>1</v>
      </c>
      <c r="L46" s="21">
        <v>0.95</v>
      </c>
      <c r="M46" s="21">
        <v>0.9</v>
      </c>
      <c r="N46" s="21">
        <v>0.95</v>
      </c>
      <c r="P46" s="22">
        <f>C46</f>
        <v>0.85</v>
      </c>
      <c r="Q46" s="22">
        <f>D46</f>
        <v>0.85</v>
      </c>
      <c r="R46" s="22">
        <f>E46</f>
        <v>0.9</v>
      </c>
    </row>
    <row r="47" spans="1:18" x14ac:dyDescent="0.35">
      <c r="A47" s="5" t="s">
        <v>129</v>
      </c>
      <c r="C47" s="13">
        <v>0.04</v>
      </c>
      <c r="D47" s="13">
        <v>0.04</v>
      </c>
      <c r="E47" s="13">
        <v>0.04</v>
      </c>
      <c r="F47" s="13">
        <v>0.04</v>
      </c>
      <c r="G47" s="13">
        <v>0.04</v>
      </c>
      <c r="H47" s="13">
        <v>0.04</v>
      </c>
      <c r="I47" s="13">
        <v>0.3</v>
      </c>
      <c r="J47" s="13">
        <v>0.3</v>
      </c>
      <c r="K47" s="13">
        <v>0.04</v>
      </c>
      <c r="L47" s="13">
        <v>0.04</v>
      </c>
      <c r="M47" s="13">
        <v>0.04</v>
      </c>
      <c r="N47" s="13">
        <v>0.04</v>
      </c>
    </row>
    <row r="48" spans="1:18" x14ac:dyDescent="0.35">
      <c r="A48" s="5" t="s">
        <v>130</v>
      </c>
      <c r="C48" s="13">
        <v>8.3333333333333329E-2</v>
      </c>
      <c r="D48" s="13">
        <v>8.3333333333333329E-2</v>
      </c>
      <c r="E48" s="13">
        <v>8.3333333333333329E-2</v>
      </c>
      <c r="F48" s="13">
        <v>8.3333333333333329E-2</v>
      </c>
      <c r="G48" s="13">
        <v>8.3333333333333329E-2</v>
      </c>
      <c r="H48" s="13">
        <v>8.3333333333333329E-2</v>
      </c>
      <c r="I48" s="13">
        <v>8.3333333333333329E-2</v>
      </c>
      <c r="J48" s="13">
        <v>8.3333333333333329E-2</v>
      </c>
      <c r="K48" s="13">
        <v>8.3333333333333329E-2</v>
      </c>
      <c r="L48" s="13">
        <v>8.3333333333333329E-2</v>
      </c>
      <c r="M48" s="13">
        <v>8.3333333333333329E-2</v>
      </c>
      <c r="N48" s="13">
        <v>8.3333333333333329E-2</v>
      </c>
    </row>
    <row r="49" spans="1:18" x14ac:dyDescent="0.35">
      <c r="A49" s="5" t="s">
        <v>131</v>
      </c>
      <c r="C49" s="15">
        <v>0</v>
      </c>
      <c r="D49" s="15">
        <v>0.8</v>
      </c>
      <c r="E49" s="15">
        <v>0</v>
      </c>
      <c r="F49" s="15">
        <v>0</v>
      </c>
      <c r="G49" s="15">
        <v>0</v>
      </c>
      <c r="H49" s="15">
        <v>0</v>
      </c>
      <c r="I49" s="15">
        <v>0.4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</row>
    <row r="50" spans="1:18" x14ac:dyDescent="0.35">
      <c r="A50" s="5" t="s">
        <v>132</v>
      </c>
      <c r="C50" s="14">
        <v>30</v>
      </c>
      <c r="D50" s="14">
        <v>31</v>
      </c>
      <c r="E50" s="14">
        <v>30</v>
      </c>
      <c r="F50" s="14">
        <v>31</v>
      </c>
      <c r="G50" s="14">
        <v>31</v>
      </c>
      <c r="H50" s="14">
        <v>30</v>
      </c>
      <c r="I50" s="14">
        <v>31</v>
      </c>
      <c r="J50" s="14">
        <v>30</v>
      </c>
      <c r="K50" s="14">
        <v>31</v>
      </c>
      <c r="L50" s="14">
        <v>31</v>
      </c>
      <c r="M50" s="14">
        <v>28</v>
      </c>
      <c r="N50" s="14">
        <v>31</v>
      </c>
    </row>
    <row r="51" spans="1:18" x14ac:dyDescent="0.35">
      <c r="A51" s="5" t="s">
        <v>133</v>
      </c>
      <c r="C51" s="23">
        <f t="shared" ref="C51:N51" si="0">($B$4+$B$7)*C46/12</f>
        <v>5383.333333333333</v>
      </c>
      <c r="D51" s="23">
        <f t="shared" si="0"/>
        <v>5383.333333333333</v>
      </c>
      <c r="E51" s="23">
        <f t="shared" si="0"/>
        <v>5700</v>
      </c>
      <c r="F51" s="23">
        <f t="shared" si="0"/>
        <v>5700</v>
      </c>
      <c r="G51" s="23">
        <f t="shared" si="0"/>
        <v>6016.666666666667</v>
      </c>
      <c r="H51" s="23">
        <f t="shared" si="0"/>
        <v>6650</v>
      </c>
      <c r="I51" s="23">
        <f t="shared" si="0"/>
        <v>7600</v>
      </c>
      <c r="J51" s="23">
        <f t="shared" si="0"/>
        <v>9500</v>
      </c>
      <c r="K51" s="23">
        <f t="shared" si="0"/>
        <v>6333.333333333333</v>
      </c>
      <c r="L51" s="23">
        <f t="shared" si="0"/>
        <v>6016.666666666667</v>
      </c>
      <c r="M51" s="23">
        <f t="shared" si="0"/>
        <v>5700</v>
      </c>
      <c r="N51" s="23">
        <f t="shared" si="0"/>
        <v>6016.666666666667</v>
      </c>
      <c r="O51" s="23">
        <f t="shared" ref="O51:O61" si="1">SUM(C51:N51)</f>
        <v>76000</v>
      </c>
      <c r="P51" s="23">
        <f>($B$4+$B$7)*P46/12</f>
        <v>5383.333333333333</v>
      </c>
      <c r="Q51" s="23">
        <f>($B$4+$B$7)*Q46/12</f>
        <v>5383.333333333333</v>
      </c>
      <c r="R51" s="23">
        <f>($B$4+$B$7)*R46/12</f>
        <v>5700</v>
      </c>
    </row>
    <row r="52" spans="1:18" x14ac:dyDescent="0.35">
      <c r="A52" s="5" t="s">
        <v>74</v>
      </c>
      <c r="C52" s="23">
        <f t="shared" ref="C52:N52" si="2">$B$8*C46/12</f>
        <v>6375</v>
      </c>
      <c r="D52" s="23">
        <f t="shared" si="2"/>
        <v>6375</v>
      </c>
      <c r="E52" s="23">
        <f t="shared" si="2"/>
        <v>6750</v>
      </c>
      <c r="F52" s="23">
        <f t="shared" si="2"/>
        <v>6750</v>
      </c>
      <c r="G52" s="23">
        <f t="shared" si="2"/>
        <v>7125</v>
      </c>
      <c r="H52" s="23">
        <f t="shared" si="2"/>
        <v>7875</v>
      </c>
      <c r="I52" s="23">
        <f t="shared" si="2"/>
        <v>9000</v>
      </c>
      <c r="J52" s="23">
        <f t="shared" si="2"/>
        <v>11250</v>
      </c>
      <c r="K52" s="23">
        <f t="shared" si="2"/>
        <v>7500</v>
      </c>
      <c r="L52" s="23">
        <f t="shared" si="2"/>
        <v>7125</v>
      </c>
      <c r="M52" s="23">
        <f t="shared" si="2"/>
        <v>6750</v>
      </c>
      <c r="N52" s="23">
        <f t="shared" si="2"/>
        <v>7125</v>
      </c>
      <c r="O52" s="23">
        <f t="shared" si="1"/>
        <v>90000</v>
      </c>
      <c r="P52" s="23">
        <f>$B$8*P46/12</f>
        <v>6375</v>
      </c>
      <c r="Q52" s="23">
        <f>$B$8*Q46/12</f>
        <v>6375</v>
      </c>
      <c r="R52" s="23">
        <f>$B$8*R46/12</f>
        <v>6750</v>
      </c>
    </row>
    <row r="53" spans="1:18" x14ac:dyDescent="0.35">
      <c r="A53" s="5" t="s">
        <v>75</v>
      </c>
      <c r="C53" s="23">
        <f t="shared" ref="C53:N53" si="3">$B$9*C46/12</f>
        <v>3541.6666666666665</v>
      </c>
      <c r="D53" s="23">
        <f t="shared" si="3"/>
        <v>3541.6666666666665</v>
      </c>
      <c r="E53" s="23">
        <f t="shared" si="3"/>
        <v>3750</v>
      </c>
      <c r="F53" s="23">
        <f t="shared" si="3"/>
        <v>3750</v>
      </c>
      <c r="G53" s="23">
        <f t="shared" si="3"/>
        <v>3958.3333333333335</v>
      </c>
      <c r="H53" s="23">
        <f t="shared" si="3"/>
        <v>4375</v>
      </c>
      <c r="I53" s="23">
        <f t="shared" si="3"/>
        <v>5000</v>
      </c>
      <c r="J53" s="23">
        <f t="shared" si="3"/>
        <v>6250</v>
      </c>
      <c r="K53" s="23">
        <f t="shared" si="3"/>
        <v>4166.666666666667</v>
      </c>
      <c r="L53" s="23">
        <f t="shared" si="3"/>
        <v>3958.3333333333335</v>
      </c>
      <c r="M53" s="23">
        <f t="shared" si="3"/>
        <v>3750</v>
      </c>
      <c r="N53" s="23">
        <f t="shared" si="3"/>
        <v>3958.3333333333335</v>
      </c>
      <c r="O53" s="23">
        <f t="shared" si="1"/>
        <v>50000</v>
      </c>
      <c r="P53" s="23">
        <f>$B$9*P46/12</f>
        <v>3541.6666666666665</v>
      </c>
      <c r="Q53" s="23">
        <f>$B$9*Q46/12</f>
        <v>3541.6666666666665</v>
      </c>
      <c r="R53" s="23">
        <f>$B$9*R46/12</f>
        <v>3750</v>
      </c>
    </row>
    <row r="54" spans="1:18" x14ac:dyDescent="0.35">
      <c r="A54" s="11" t="s">
        <v>104</v>
      </c>
      <c r="C54" s="24">
        <f t="shared" ref="C54:N54" si="4">(C51*$B$36+C52*$C$36+C53*$D$36)/10000000</f>
        <v>3.3638750000000002</v>
      </c>
      <c r="D54" s="24">
        <f t="shared" si="4"/>
        <v>3.3638750000000002</v>
      </c>
      <c r="E54" s="24">
        <f t="shared" si="4"/>
        <v>3.56175</v>
      </c>
      <c r="F54" s="24">
        <f t="shared" si="4"/>
        <v>3.56175</v>
      </c>
      <c r="G54" s="24">
        <f t="shared" si="4"/>
        <v>3.7596250000000002</v>
      </c>
      <c r="H54" s="24">
        <f t="shared" si="4"/>
        <v>4.1553750000000003</v>
      </c>
      <c r="I54" s="24">
        <f t="shared" si="4"/>
        <v>4.7489999999999997</v>
      </c>
      <c r="J54" s="24">
        <f t="shared" si="4"/>
        <v>5.9362500000000002</v>
      </c>
      <c r="K54" s="24">
        <f t="shared" si="4"/>
        <v>3.9575</v>
      </c>
      <c r="L54" s="24">
        <f t="shared" si="4"/>
        <v>3.7596250000000002</v>
      </c>
      <c r="M54" s="24">
        <f t="shared" si="4"/>
        <v>3.56175</v>
      </c>
      <c r="N54" s="24">
        <f t="shared" si="4"/>
        <v>3.7596250000000002</v>
      </c>
      <c r="O54" s="24">
        <f t="shared" si="1"/>
        <v>47.489999999999995</v>
      </c>
    </row>
    <row r="55" spans="1:18" x14ac:dyDescent="0.35">
      <c r="A55" s="5" t="s">
        <v>105</v>
      </c>
      <c r="C55" s="20">
        <f t="shared" ref="C55:N55" si="5">(C51*$B$37+C52*$C$37+C53*$D$37)/10000000</f>
        <v>1.1483733183333333</v>
      </c>
      <c r="D55" s="20">
        <f t="shared" si="5"/>
        <v>1.1483733183333333</v>
      </c>
      <c r="E55" s="20">
        <f t="shared" si="5"/>
        <v>1.2159246900000003</v>
      </c>
      <c r="F55" s="20">
        <f t="shared" si="5"/>
        <v>1.2159246900000003</v>
      </c>
      <c r="G55" s="20">
        <f t="shared" si="5"/>
        <v>1.2834760616666669</v>
      </c>
      <c r="H55" s="20">
        <f t="shared" si="5"/>
        <v>1.4185788050000001</v>
      </c>
      <c r="I55" s="20">
        <f t="shared" si="5"/>
        <v>1.62123292</v>
      </c>
      <c r="J55" s="20">
        <f t="shared" si="5"/>
        <v>2.0265411499999999</v>
      </c>
      <c r="K55" s="20">
        <f t="shared" si="5"/>
        <v>1.3510274333333336</v>
      </c>
      <c r="L55" s="20">
        <f t="shared" si="5"/>
        <v>1.2834760616666669</v>
      </c>
      <c r="M55" s="20">
        <f t="shared" si="5"/>
        <v>1.2159246900000003</v>
      </c>
      <c r="N55" s="20">
        <f t="shared" si="5"/>
        <v>1.2834760616666669</v>
      </c>
      <c r="O55" s="20">
        <f t="shared" si="1"/>
        <v>16.212329200000003</v>
      </c>
    </row>
    <row r="56" spans="1:18" x14ac:dyDescent="0.35">
      <c r="A56" s="5" t="s">
        <v>134</v>
      </c>
      <c r="C56" s="20">
        <f t="shared" ref="C56:N56" si="6">(C51*$B$38+C52*$C$38+C53*$D$38)/10000000</f>
        <v>1.5623</v>
      </c>
      <c r="D56" s="20">
        <f t="shared" si="6"/>
        <v>1.5623</v>
      </c>
      <c r="E56" s="20">
        <f t="shared" si="6"/>
        <v>1.6541999999999999</v>
      </c>
      <c r="F56" s="20">
        <f t="shared" si="6"/>
        <v>1.6541999999999999</v>
      </c>
      <c r="G56" s="20">
        <f t="shared" si="6"/>
        <v>1.7461</v>
      </c>
      <c r="H56" s="20">
        <f t="shared" si="6"/>
        <v>1.9298999999999999</v>
      </c>
      <c r="I56" s="20">
        <f t="shared" si="6"/>
        <v>2.2056</v>
      </c>
      <c r="J56" s="20">
        <f t="shared" si="6"/>
        <v>2.7570000000000001</v>
      </c>
      <c r="K56" s="20">
        <f t="shared" si="6"/>
        <v>1.8380000000000001</v>
      </c>
      <c r="L56" s="20">
        <f t="shared" si="6"/>
        <v>1.7461</v>
      </c>
      <c r="M56" s="20">
        <f t="shared" si="6"/>
        <v>1.6541999999999999</v>
      </c>
      <c r="N56" s="20">
        <f t="shared" si="6"/>
        <v>1.7461</v>
      </c>
      <c r="O56" s="20">
        <f t="shared" si="1"/>
        <v>22.055999999999997</v>
      </c>
      <c r="P56" s="20">
        <f>(P51*$B$38+P52*$C$38+P53*$D$38)/10000000</f>
        <v>1.5623</v>
      </c>
      <c r="Q56" s="20">
        <f>(Q51*$B$38+Q52*$C$38+Q53*$D$38)/10000000</f>
        <v>1.5623</v>
      </c>
      <c r="R56" s="20">
        <f>(R51*$B$38+R52*$C$38+R53*$D$38)/10000000</f>
        <v>1.6541999999999999</v>
      </c>
    </row>
    <row r="57" spans="1:18" x14ac:dyDescent="0.35">
      <c r="A57" s="5" t="s">
        <v>135</v>
      </c>
      <c r="C57" s="23">
        <f t="shared" ref="C57:N57" si="7">$B$4*$B$5*C46/12</f>
        <v>3187.5</v>
      </c>
      <c r="D57" s="23">
        <f t="shared" si="7"/>
        <v>3187.5</v>
      </c>
      <c r="E57" s="23">
        <f t="shared" si="7"/>
        <v>3375</v>
      </c>
      <c r="F57" s="23">
        <f t="shared" si="7"/>
        <v>3375</v>
      </c>
      <c r="G57" s="23">
        <f t="shared" si="7"/>
        <v>3562.5</v>
      </c>
      <c r="H57" s="23">
        <f t="shared" si="7"/>
        <v>3937.5</v>
      </c>
      <c r="I57" s="23">
        <f t="shared" si="7"/>
        <v>4500</v>
      </c>
      <c r="J57" s="23">
        <f t="shared" si="7"/>
        <v>5625</v>
      </c>
      <c r="K57" s="23">
        <f t="shared" si="7"/>
        <v>3750</v>
      </c>
      <c r="L57" s="23">
        <f t="shared" si="7"/>
        <v>3562.5</v>
      </c>
      <c r="M57" s="23">
        <f t="shared" si="7"/>
        <v>3375</v>
      </c>
      <c r="N57" s="23">
        <f t="shared" si="7"/>
        <v>3562.5</v>
      </c>
      <c r="O57" s="23">
        <f t="shared" si="1"/>
        <v>45000</v>
      </c>
    </row>
    <row r="58" spans="1:18" x14ac:dyDescent="0.35">
      <c r="A58" s="5" t="s">
        <v>136</v>
      </c>
      <c r="C58" s="20">
        <f t="shared" ref="C58:N58" si="8">C57*$B$6/10000000+$B$10/12+(C52*$C$36/10000000)*$B$11+(C53*$D$36/10000000)*$B$12</f>
        <v>0.74437500000000001</v>
      </c>
      <c r="D58" s="20">
        <f t="shared" si="8"/>
        <v>0.74437500000000001</v>
      </c>
      <c r="E58" s="20">
        <f t="shared" si="8"/>
        <v>0.78375000000000006</v>
      </c>
      <c r="F58" s="20">
        <f t="shared" si="8"/>
        <v>0.78375000000000006</v>
      </c>
      <c r="G58" s="20">
        <f t="shared" si="8"/>
        <v>0.823125</v>
      </c>
      <c r="H58" s="20">
        <f t="shared" si="8"/>
        <v>0.90187499999999998</v>
      </c>
      <c r="I58" s="20">
        <f t="shared" si="8"/>
        <v>1.02</v>
      </c>
      <c r="J58" s="20">
        <f t="shared" si="8"/>
        <v>1.2562499999999999</v>
      </c>
      <c r="K58" s="20">
        <f t="shared" si="8"/>
        <v>0.86250000000000004</v>
      </c>
      <c r="L58" s="20">
        <f t="shared" si="8"/>
        <v>0.823125</v>
      </c>
      <c r="M58" s="20">
        <f t="shared" si="8"/>
        <v>0.78375000000000006</v>
      </c>
      <c r="N58" s="20">
        <f t="shared" si="8"/>
        <v>0.823125</v>
      </c>
      <c r="O58" s="20">
        <f t="shared" si="1"/>
        <v>10.349999999999998</v>
      </c>
    </row>
    <row r="59" spans="1:18" x14ac:dyDescent="0.35">
      <c r="A59" s="11" t="s">
        <v>137</v>
      </c>
      <c r="C59" s="24">
        <f t="shared" ref="C59:N59" si="9">C55-C58</f>
        <v>0.40399831833333333</v>
      </c>
      <c r="D59" s="24">
        <f t="shared" si="9"/>
        <v>0.40399831833333333</v>
      </c>
      <c r="E59" s="24">
        <f t="shared" si="9"/>
        <v>0.43217469000000019</v>
      </c>
      <c r="F59" s="24">
        <f t="shared" si="9"/>
        <v>0.43217469000000019</v>
      </c>
      <c r="G59" s="24">
        <f t="shared" si="9"/>
        <v>0.46035106166666695</v>
      </c>
      <c r="H59" s="24">
        <f t="shared" si="9"/>
        <v>0.51670380500000013</v>
      </c>
      <c r="I59" s="24">
        <f t="shared" si="9"/>
        <v>0.60123291999999995</v>
      </c>
      <c r="J59" s="24">
        <f t="shared" si="9"/>
        <v>0.77029115000000004</v>
      </c>
      <c r="K59" s="24">
        <f t="shared" si="9"/>
        <v>0.48852743333333359</v>
      </c>
      <c r="L59" s="24">
        <f t="shared" si="9"/>
        <v>0.46035106166666695</v>
      </c>
      <c r="M59" s="24">
        <f t="shared" si="9"/>
        <v>0.43217469000000019</v>
      </c>
      <c r="N59" s="24">
        <f t="shared" si="9"/>
        <v>0.46035106166666695</v>
      </c>
      <c r="O59" s="24">
        <f t="shared" si="1"/>
        <v>5.8623292000000014</v>
      </c>
    </row>
    <row r="60" spans="1:18" x14ac:dyDescent="0.35">
      <c r="A60" s="5" t="s">
        <v>138</v>
      </c>
      <c r="C60" s="20">
        <f t="shared" ref="C60:N60" si="10">$B$13*C47</f>
        <v>0.12</v>
      </c>
      <c r="D60" s="20">
        <f t="shared" si="10"/>
        <v>0.12</v>
      </c>
      <c r="E60" s="20">
        <f t="shared" si="10"/>
        <v>0.12</v>
      </c>
      <c r="F60" s="20">
        <f t="shared" si="10"/>
        <v>0.12</v>
      </c>
      <c r="G60" s="20">
        <f t="shared" si="10"/>
        <v>0.12</v>
      </c>
      <c r="H60" s="20">
        <f t="shared" si="10"/>
        <v>0.12</v>
      </c>
      <c r="I60" s="20">
        <f t="shared" si="10"/>
        <v>0.89999999999999991</v>
      </c>
      <c r="J60" s="20">
        <f t="shared" si="10"/>
        <v>0.89999999999999991</v>
      </c>
      <c r="K60" s="20">
        <f t="shared" si="10"/>
        <v>0.12</v>
      </c>
      <c r="L60" s="20">
        <f t="shared" si="10"/>
        <v>0.12</v>
      </c>
      <c r="M60" s="20">
        <f t="shared" si="10"/>
        <v>0.12</v>
      </c>
      <c r="N60" s="20">
        <f t="shared" si="10"/>
        <v>0.12</v>
      </c>
      <c r="O60" s="20">
        <f t="shared" si="1"/>
        <v>3</v>
      </c>
    </row>
    <row r="61" spans="1:18" x14ac:dyDescent="0.35">
      <c r="A61" s="5" t="s">
        <v>139</v>
      </c>
      <c r="C61" s="22">
        <f t="shared" ref="C61:N61" si="11">$B$16*C48</f>
        <v>2.5</v>
      </c>
      <c r="D61" s="22">
        <f t="shared" si="11"/>
        <v>2.5</v>
      </c>
      <c r="E61" s="22">
        <f t="shared" si="11"/>
        <v>2.5</v>
      </c>
      <c r="F61" s="22">
        <f t="shared" si="11"/>
        <v>2.5</v>
      </c>
      <c r="G61" s="22">
        <f t="shared" si="11"/>
        <v>2.5</v>
      </c>
      <c r="H61" s="22">
        <f t="shared" si="11"/>
        <v>2.5</v>
      </c>
      <c r="I61" s="22">
        <f t="shared" si="11"/>
        <v>2.5</v>
      </c>
      <c r="J61" s="22">
        <f t="shared" si="11"/>
        <v>2.5</v>
      </c>
      <c r="K61" s="22">
        <f t="shared" si="11"/>
        <v>2.5</v>
      </c>
      <c r="L61" s="22">
        <f t="shared" si="11"/>
        <v>2.5</v>
      </c>
      <c r="M61" s="22">
        <f t="shared" si="11"/>
        <v>2.5</v>
      </c>
      <c r="N61" s="22">
        <f t="shared" si="11"/>
        <v>2.5</v>
      </c>
      <c r="O61" s="22">
        <f t="shared" si="1"/>
        <v>30</v>
      </c>
    </row>
    <row r="62" spans="1:18" x14ac:dyDescent="0.35">
      <c r="A62" s="5" t="s">
        <v>140</v>
      </c>
      <c r="C62" s="22">
        <f>C61</f>
        <v>2.5</v>
      </c>
      <c r="D62" s="22">
        <f t="shared" ref="D62:N62" si="12">C62+D61</f>
        <v>5</v>
      </c>
      <c r="E62" s="22">
        <f t="shared" si="12"/>
        <v>7.5</v>
      </c>
      <c r="F62" s="22">
        <f t="shared" si="12"/>
        <v>10</v>
      </c>
      <c r="G62" s="22">
        <f t="shared" si="12"/>
        <v>12.5</v>
      </c>
      <c r="H62" s="22">
        <f t="shared" si="12"/>
        <v>15</v>
      </c>
      <c r="I62" s="22">
        <f t="shared" si="12"/>
        <v>17.5</v>
      </c>
      <c r="J62" s="22">
        <f t="shared" si="12"/>
        <v>20</v>
      </c>
      <c r="K62" s="22">
        <f t="shared" si="12"/>
        <v>22.5</v>
      </c>
      <c r="L62" s="22">
        <f t="shared" si="12"/>
        <v>25</v>
      </c>
      <c r="M62" s="22">
        <f t="shared" si="12"/>
        <v>27.5</v>
      </c>
      <c r="N62" s="22">
        <f t="shared" si="12"/>
        <v>30</v>
      </c>
    </row>
    <row r="63" spans="1:18" x14ac:dyDescent="0.35">
      <c r="A63" s="5" t="s">
        <v>141</v>
      </c>
      <c r="C63" s="20">
        <f t="shared" ref="C63:N63" si="13">$B$15+(C62-C61/2)*$B$17/12</f>
        <v>0.48874999999999996</v>
      </c>
      <c r="D63" s="20">
        <f t="shared" si="13"/>
        <v>0.52625</v>
      </c>
      <c r="E63" s="20">
        <f t="shared" si="13"/>
        <v>0.56374999999999997</v>
      </c>
      <c r="F63" s="20">
        <f t="shared" si="13"/>
        <v>0.60124999999999995</v>
      </c>
      <c r="G63" s="20">
        <f t="shared" si="13"/>
        <v>0.63874999999999993</v>
      </c>
      <c r="H63" s="20">
        <f t="shared" si="13"/>
        <v>0.67625000000000002</v>
      </c>
      <c r="I63" s="20">
        <f t="shared" si="13"/>
        <v>0.71375</v>
      </c>
      <c r="J63" s="20">
        <f t="shared" si="13"/>
        <v>0.75124999999999997</v>
      </c>
      <c r="K63" s="20">
        <f t="shared" si="13"/>
        <v>0.78874999999999995</v>
      </c>
      <c r="L63" s="20">
        <f t="shared" si="13"/>
        <v>0.82624999999999993</v>
      </c>
      <c r="M63" s="20">
        <f t="shared" si="13"/>
        <v>0.86375000000000002</v>
      </c>
      <c r="N63" s="20">
        <f t="shared" si="13"/>
        <v>0.90124999999999988</v>
      </c>
      <c r="O63" s="20">
        <f>SUM(C63:N63)</f>
        <v>8.3399999999999981</v>
      </c>
    </row>
    <row r="64" spans="1:18" x14ac:dyDescent="0.35">
      <c r="A64" s="5" t="s">
        <v>142</v>
      </c>
      <c r="C64" s="20">
        <f t="shared" ref="C64:N64" si="14">$B$18</f>
        <v>0.21</v>
      </c>
      <c r="D64" s="20">
        <f t="shared" si="14"/>
        <v>0.21</v>
      </c>
      <c r="E64" s="20">
        <f t="shared" si="14"/>
        <v>0.21</v>
      </c>
      <c r="F64" s="20">
        <f t="shared" si="14"/>
        <v>0.21</v>
      </c>
      <c r="G64" s="20">
        <f t="shared" si="14"/>
        <v>0.21</v>
      </c>
      <c r="H64" s="20">
        <f t="shared" si="14"/>
        <v>0.21</v>
      </c>
      <c r="I64" s="20">
        <f t="shared" si="14"/>
        <v>0.21</v>
      </c>
      <c r="J64" s="20">
        <f t="shared" si="14"/>
        <v>0.21</v>
      </c>
      <c r="K64" s="20">
        <f t="shared" si="14"/>
        <v>0.21</v>
      </c>
      <c r="L64" s="20">
        <f t="shared" si="14"/>
        <v>0.21</v>
      </c>
      <c r="M64" s="20">
        <f t="shared" si="14"/>
        <v>0.21</v>
      </c>
      <c r="N64" s="20">
        <f t="shared" si="14"/>
        <v>0.21</v>
      </c>
      <c r="O64" s="20">
        <f>SUM(C64:N64)</f>
        <v>2.52</v>
      </c>
    </row>
    <row r="65" spans="1:15" x14ac:dyDescent="0.35">
      <c r="A65" s="11" t="s">
        <v>143</v>
      </c>
      <c r="C65" s="24">
        <f t="shared" ref="C65:N65" si="15">C59-C60-C63-C64</f>
        <v>-0.41475168166666665</v>
      </c>
      <c r="D65" s="24">
        <f t="shared" si="15"/>
        <v>-0.45225168166666663</v>
      </c>
      <c r="E65" s="24">
        <f t="shared" si="15"/>
        <v>-0.46157530999999974</v>
      </c>
      <c r="F65" s="24">
        <f t="shared" si="15"/>
        <v>-0.49907530999999972</v>
      </c>
      <c r="G65" s="24">
        <f t="shared" si="15"/>
        <v>-0.50839893833333294</v>
      </c>
      <c r="H65" s="24">
        <f t="shared" si="15"/>
        <v>-0.48954619499999985</v>
      </c>
      <c r="I65" s="24">
        <f t="shared" si="15"/>
        <v>-1.2225170799999998</v>
      </c>
      <c r="J65" s="24">
        <f t="shared" si="15"/>
        <v>-1.0909588499999998</v>
      </c>
      <c r="K65" s="24">
        <f t="shared" si="15"/>
        <v>-0.63022256666666632</v>
      </c>
      <c r="L65" s="24">
        <f t="shared" si="15"/>
        <v>-0.69589893833333294</v>
      </c>
      <c r="M65" s="24">
        <f t="shared" si="15"/>
        <v>-0.76157530999999978</v>
      </c>
      <c r="N65" s="24">
        <f t="shared" si="15"/>
        <v>-0.77089893833333289</v>
      </c>
      <c r="O65" s="24">
        <f>SUM(C65:N65)</f>
        <v>-7.9976707999999972</v>
      </c>
    </row>
    <row r="66" spans="1:15" x14ac:dyDescent="0.35">
      <c r="A66" s="5" t="s">
        <v>144</v>
      </c>
      <c r="C66" s="22">
        <f t="shared" ref="C66:N66" si="16">$B$14+C62</f>
        <v>52.5</v>
      </c>
      <c r="D66" s="22">
        <f t="shared" si="16"/>
        <v>55</v>
      </c>
      <c r="E66" s="22">
        <f t="shared" si="16"/>
        <v>57.5</v>
      </c>
      <c r="F66" s="22">
        <f t="shared" si="16"/>
        <v>60</v>
      </c>
      <c r="G66" s="22">
        <f t="shared" si="16"/>
        <v>62.5</v>
      </c>
      <c r="H66" s="22">
        <f t="shared" si="16"/>
        <v>65</v>
      </c>
      <c r="I66" s="22">
        <f t="shared" si="16"/>
        <v>67.5</v>
      </c>
      <c r="J66" s="22">
        <f t="shared" si="16"/>
        <v>70</v>
      </c>
      <c r="K66" s="22">
        <f t="shared" si="16"/>
        <v>72.5</v>
      </c>
      <c r="L66" s="22">
        <f t="shared" si="16"/>
        <v>75</v>
      </c>
      <c r="M66" s="22">
        <f t="shared" si="16"/>
        <v>77.5</v>
      </c>
      <c r="N66" s="22">
        <f t="shared" si="16"/>
        <v>80</v>
      </c>
    </row>
    <row r="67" spans="1:15" x14ac:dyDescent="0.35">
      <c r="A67" s="5" t="s">
        <v>145</v>
      </c>
      <c r="C67" s="20">
        <f t="shared" ref="C67:K67" si="17">$B$19/30*(D56+E56+F56)/3</f>
        <v>5.411888888888889</v>
      </c>
      <c r="D67" s="20">
        <f t="shared" si="17"/>
        <v>5.6161111111111106</v>
      </c>
      <c r="E67" s="20">
        <f t="shared" si="17"/>
        <v>5.9224444444444444</v>
      </c>
      <c r="F67" s="20">
        <f t="shared" si="17"/>
        <v>6.5351111111111129</v>
      </c>
      <c r="G67" s="20">
        <f t="shared" si="17"/>
        <v>7.6583333333333341</v>
      </c>
      <c r="H67" s="20">
        <f t="shared" si="17"/>
        <v>7.556222222222222</v>
      </c>
      <c r="I67" s="20">
        <f t="shared" si="17"/>
        <v>7.0456666666666683</v>
      </c>
      <c r="J67" s="20">
        <f t="shared" si="17"/>
        <v>5.820333333333334</v>
      </c>
      <c r="K67" s="20">
        <f t="shared" si="17"/>
        <v>5.7182222222222228</v>
      </c>
      <c r="L67" s="20">
        <f>$B$19/30*(M56+N56+P56)/3</f>
        <v>5.5140000000000002</v>
      </c>
      <c r="M67" s="20">
        <f>$B$19/30*(N56+P56+Q56)/3</f>
        <v>5.411888888888889</v>
      </c>
      <c r="N67" s="20">
        <f>$B$19/30*(P56+Q56+R56)/3</f>
        <v>5.3097777777777786</v>
      </c>
    </row>
    <row r="68" spans="1:15" x14ac:dyDescent="0.35">
      <c r="A68" s="5" t="s">
        <v>146</v>
      </c>
      <c r="C68" s="20">
        <f>MAX(0,C56+C67-$B$28)</f>
        <v>2.4741888888888894</v>
      </c>
      <c r="D68" s="20">
        <f t="shared" ref="D68:N68" si="18">MAX(0,D56+D67-C69)</f>
        <v>1.7665222222222212</v>
      </c>
      <c r="E68" s="20">
        <f t="shared" si="18"/>
        <v>1.9605333333333341</v>
      </c>
      <c r="F68" s="20">
        <f t="shared" si="18"/>
        <v>2.2668666666666688</v>
      </c>
      <c r="G68" s="20">
        <f t="shared" si="18"/>
        <v>2.8693222222222197</v>
      </c>
      <c r="H68" s="20">
        <f t="shared" si="18"/>
        <v>1.8277888888888878</v>
      </c>
      <c r="I68" s="20">
        <f t="shared" si="18"/>
        <v>1.6950444444444468</v>
      </c>
      <c r="J68" s="20">
        <f t="shared" si="18"/>
        <v>1.5316666666666663</v>
      </c>
      <c r="K68" s="20">
        <f t="shared" si="18"/>
        <v>1.7358888888888888</v>
      </c>
      <c r="L68" s="20">
        <f t="shared" si="18"/>
        <v>1.5418777777777777</v>
      </c>
      <c r="M68" s="20">
        <f t="shared" si="18"/>
        <v>1.5520888888888882</v>
      </c>
      <c r="N68" s="20">
        <f t="shared" si="18"/>
        <v>1.6439888888888898</v>
      </c>
      <c r="O68" s="20">
        <f>SUM(C68:N68)</f>
        <v>22.86577777777778</v>
      </c>
    </row>
    <row r="69" spans="1:15" x14ac:dyDescent="0.35">
      <c r="A69" s="5" t="s">
        <v>147</v>
      </c>
      <c r="C69" s="20">
        <f>$B$28+C68-C56</f>
        <v>5.411888888888889</v>
      </c>
      <c r="D69" s="20">
        <f t="shared" ref="D69:N69" si="19">C69+D68-D56</f>
        <v>5.6161111111111097</v>
      </c>
      <c r="E69" s="20">
        <f t="shared" si="19"/>
        <v>5.9224444444444444</v>
      </c>
      <c r="F69" s="20">
        <f t="shared" si="19"/>
        <v>6.5351111111111138</v>
      </c>
      <c r="G69" s="20">
        <f t="shared" si="19"/>
        <v>7.6583333333333332</v>
      </c>
      <c r="H69" s="20">
        <f t="shared" si="19"/>
        <v>7.5562222222222211</v>
      </c>
      <c r="I69" s="20">
        <f t="shared" si="19"/>
        <v>7.0456666666666674</v>
      </c>
      <c r="J69" s="20">
        <f t="shared" si="19"/>
        <v>5.820333333333334</v>
      </c>
      <c r="K69" s="20">
        <f t="shared" si="19"/>
        <v>5.7182222222222228</v>
      </c>
      <c r="L69" s="20">
        <f t="shared" si="19"/>
        <v>5.5140000000000002</v>
      </c>
      <c r="M69" s="20">
        <f t="shared" si="19"/>
        <v>5.411888888888889</v>
      </c>
      <c r="N69" s="20">
        <f t="shared" si="19"/>
        <v>5.3097777777777786</v>
      </c>
    </row>
    <row r="70" spans="1:15" x14ac:dyDescent="0.35">
      <c r="A70" s="5" t="s">
        <v>148</v>
      </c>
      <c r="C70" s="20">
        <f>C68*$B$40+$B$30*$B$41+$B$30*$B$42</f>
        <v>3.4419937669376703</v>
      </c>
      <c r="D70" s="20">
        <f>D68*$B$40+C68*$B$41+$B$30*$B$42</f>
        <v>3.3500031111111106</v>
      </c>
      <c r="E70" s="20">
        <f t="shared" ref="E70:N70" si="20">E68*$B$40+D68*$B$41+C68*$B$42</f>
        <v>3.0911075555555558</v>
      </c>
      <c r="F70" s="20">
        <f t="shared" si="20"/>
        <v>3.5216080000000027</v>
      </c>
      <c r="G70" s="20">
        <f t="shared" si="20"/>
        <v>4.3201168888888875</v>
      </c>
      <c r="H70" s="20">
        <f t="shared" si="20"/>
        <v>3.6641551111111084</v>
      </c>
      <c r="I70" s="20">
        <f t="shared" si="20"/>
        <v>2.864829333333335</v>
      </c>
      <c r="J70" s="20">
        <f t="shared" si="20"/>
        <v>2.6164951111111123</v>
      </c>
      <c r="K70" s="20">
        <f t="shared" si="20"/>
        <v>2.716155555555555</v>
      </c>
      <c r="L70" s="20">
        <f t="shared" si="20"/>
        <v>2.6528466666666666</v>
      </c>
      <c r="M70" s="20">
        <f t="shared" si="20"/>
        <v>2.5388906666666662</v>
      </c>
      <c r="N70" s="20">
        <f t="shared" si="20"/>
        <v>2.6373257777777783</v>
      </c>
    </row>
    <row r="71" spans="1:15" x14ac:dyDescent="0.35">
      <c r="A71" s="5" t="s">
        <v>149</v>
      </c>
      <c r="C71" s="20">
        <f t="shared" ref="C71:N71" si="21">(C53*$D$36/10000000*(1+$B$32)*$B$20+C52*$C$36/10000000*(1+$B$32)*$B$33*$B$21+C51*$B$36/10000000*(1+$B$32)*$B$22)/30</f>
        <v>2.1613658474999995</v>
      </c>
      <c r="D71" s="20">
        <f t="shared" si="21"/>
        <v>2.1613658474999995</v>
      </c>
      <c r="E71" s="20">
        <f t="shared" si="21"/>
        <v>2.2885050150000001</v>
      </c>
      <c r="F71" s="20">
        <f t="shared" si="21"/>
        <v>2.2885050150000001</v>
      </c>
      <c r="G71" s="20">
        <f t="shared" si="21"/>
        <v>2.4156441825000003</v>
      </c>
      <c r="H71" s="20">
        <f t="shared" si="21"/>
        <v>2.6699225174999994</v>
      </c>
      <c r="I71" s="20">
        <f t="shared" si="21"/>
        <v>3.0513400199999992</v>
      </c>
      <c r="J71" s="20">
        <f t="shared" si="21"/>
        <v>3.8141750249999999</v>
      </c>
      <c r="K71" s="20">
        <f t="shared" si="21"/>
        <v>2.5427833499999997</v>
      </c>
      <c r="L71" s="20">
        <f t="shared" si="21"/>
        <v>2.4156441825000003</v>
      </c>
      <c r="M71" s="20">
        <f t="shared" si="21"/>
        <v>2.2885050150000001</v>
      </c>
      <c r="N71" s="20">
        <f t="shared" si="21"/>
        <v>2.4156441825000003</v>
      </c>
    </row>
    <row r="72" spans="1:15" x14ac:dyDescent="0.35">
      <c r="A72" s="5" t="s">
        <v>150</v>
      </c>
      <c r="C72" s="20">
        <f>(C69-$B$28)+(C71-$B$29)-(C70-$B$43)</f>
        <v>0.61126096945121899</v>
      </c>
      <c r="D72" s="20">
        <f t="shared" ref="D72:N72" si="22">(D69-C69)+(D71-C71)-(D70-C70)</f>
        <v>0.29621287804878049</v>
      </c>
      <c r="E72" s="20">
        <f t="shared" si="22"/>
        <v>0.6923680563888901</v>
      </c>
      <c r="F72" s="20">
        <f t="shared" si="22"/>
        <v>0.18216622222222245</v>
      </c>
      <c r="G72" s="20">
        <f t="shared" si="22"/>
        <v>0.45185250083333495</v>
      </c>
      <c r="H72" s="20">
        <f t="shared" si="22"/>
        <v>0.80812900166666601</v>
      </c>
      <c r="I72" s="20">
        <f t="shared" si="22"/>
        <v>0.67018772472221944</v>
      </c>
      <c r="J72" s="20">
        <f t="shared" si="22"/>
        <v>-0.21416410611110992</v>
      </c>
      <c r="K72" s="20">
        <f t="shared" si="22"/>
        <v>-1.4731632305555542</v>
      </c>
      <c r="L72" s="20">
        <f t="shared" si="22"/>
        <v>-0.26805250083333343</v>
      </c>
      <c r="M72" s="20">
        <f t="shared" si="22"/>
        <v>-0.11529427861111108</v>
      </c>
      <c r="N72" s="20">
        <f t="shared" si="22"/>
        <v>-7.3407054722222309E-2</v>
      </c>
      <c r="O72" s="20">
        <f>SUM(C72:N72)</f>
        <v>1.5680961825000015</v>
      </c>
    </row>
    <row r="73" spans="1:15" x14ac:dyDescent="0.35">
      <c r="A73" s="5" t="s">
        <v>151</v>
      </c>
      <c r="C73" s="20">
        <f>MAX(0,$B$27-$B$26)*$B$25/12</f>
        <v>0.15000000000000008</v>
      </c>
      <c r="D73" s="20">
        <f t="shared" ref="D73:N73" si="23">MAX(0,C75-$B$26)*$B$25/12</f>
        <v>0.14561993674441065</v>
      </c>
      <c r="E73" s="20">
        <f t="shared" si="23"/>
        <v>0.13860571362955548</v>
      </c>
      <c r="F73" s="20">
        <f t="shared" si="23"/>
        <v>0.13352902536575881</v>
      </c>
      <c r="G73" s="20">
        <f t="shared" si="23"/>
        <v>0.13079046283147649</v>
      </c>
      <c r="H73" s="20">
        <f t="shared" si="23"/>
        <v>0.12664315794980052</v>
      </c>
      <c r="I73" s="20">
        <f t="shared" si="23"/>
        <v>0.12078799775621619</v>
      </c>
      <c r="J73" s="20">
        <f t="shared" si="23"/>
        <v>0.10992841372138618</v>
      </c>
      <c r="K73" s="20">
        <f t="shared" si="23"/>
        <v>0.10609408207054867</v>
      </c>
      <c r="L73" s="20">
        <f t="shared" si="23"/>
        <v>0.11083925580034586</v>
      </c>
      <c r="M73" s="20">
        <f t="shared" si="23"/>
        <v>0.10925421989184758</v>
      </c>
      <c r="N73" s="20">
        <f t="shared" si="23"/>
        <v>0.10656908583436238</v>
      </c>
      <c r="O73" s="20">
        <f>SUM(C73:N73)</f>
        <v>1.4886613515957092</v>
      </c>
    </row>
    <row r="74" spans="1:15" x14ac:dyDescent="0.35">
      <c r="A74" s="11" t="s">
        <v>152</v>
      </c>
      <c r="C74" s="24">
        <f t="shared" ref="C74:N74" si="24">C65-C72-C49+C73</f>
        <v>-0.8760126511178854</v>
      </c>
      <c r="D74" s="24">
        <f t="shared" si="24"/>
        <v>-1.4028446229710365</v>
      </c>
      <c r="E74" s="24">
        <f t="shared" si="24"/>
        <v>-1.0153376527593343</v>
      </c>
      <c r="F74" s="24">
        <f t="shared" si="24"/>
        <v>-0.54771250685646333</v>
      </c>
      <c r="G74" s="24">
        <f t="shared" si="24"/>
        <v>-0.82946097633519145</v>
      </c>
      <c r="H74" s="24">
        <f t="shared" si="24"/>
        <v>-1.1710320387168656</v>
      </c>
      <c r="I74" s="24">
        <f t="shared" si="24"/>
        <v>-2.1719168069660029</v>
      </c>
      <c r="J74" s="24">
        <f t="shared" si="24"/>
        <v>-0.76686633016750372</v>
      </c>
      <c r="K74" s="24">
        <f t="shared" si="24"/>
        <v>0.9490347459594366</v>
      </c>
      <c r="L74" s="24">
        <f t="shared" si="24"/>
        <v>-0.31700718169965364</v>
      </c>
      <c r="M74" s="24">
        <f t="shared" si="24"/>
        <v>-0.53702681149704112</v>
      </c>
      <c r="N74" s="24">
        <f t="shared" si="24"/>
        <v>-0.59092279777674817</v>
      </c>
      <c r="O74" s="24">
        <f>SUM(C74:N74)</f>
        <v>-9.2771056309042912</v>
      </c>
    </row>
    <row r="75" spans="1:15" x14ac:dyDescent="0.35">
      <c r="A75" s="11" t="s">
        <v>153</v>
      </c>
      <c r="C75" s="24">
        <f>$B$27+C74</f>
        <v>31.713987348882132</v>
      </c>
      <c r="D75" s="24">
        <f t="shared" ref="D75:N75" si="25">C75+D74</f>
        <v>30.311142725911097</v>
      </c>
      <c r="E75" s="24">
        <f t="shared" si="25"/>
        <v>29.295805073151762</v>
      </c>
      <c r="F75" s="24">
        <f t="shared" si="25"/>
        <v>28.748092566295298</v>
      </c>
      <c r="G75" s="24">
        <f t="shared" si="25"/>
        <v>27.918631589960107</v>
      </c>
      <c r="H75" s="24">
        <f t="shared" si="25"/>
        <v>26.747599551243241</v>
      </c>
      <c r="I75" s="24">
        <f t="shared" si="25"/>
        <v>24.575682744277238</v>
      </c>
      <c r="J75" s="24">
        <f t="shared" si="25"/>
        <v>23.808816414109735</v>
      </c>
      <c r="K75" s="24">
        <f t="shared" si="25"/>
        <v>24.757851160069173</v>
      </c>
      <c r="L75" s="24">
        <f t="shared" si="25"/>
        <v>24.440843978369518</v>
      </c>
      <c r="M75" s="24">
        <f t="shared" si="25"/>
        <v>23.903817166872479</v>
      </c>
      <c r="N75" s="24">
        <f t="shared" si="25"/>
        <v>23.31289436909573</v>
      </c>
      <c r="O75" s="24">
        <f>N75</f>
        <v>23.31289436909573</v>
      </c>
    </row>
    <row r="77" spans="1:15" x14ac:dyDescent="0.35">
      <c r="A77" s="4" t="s">
        <v>154</v>
      </c>
    </row>
    <row r="78" spans="1:15" x14ac:dyDescent="0.35">
      <c r="A78" s="11" t="s">
        <v>155</v>
      </c>
      <c r="B78" s="24">
        <f>O54</f>
        <v>47.489999999999995</v>
      </c>
    </row>
    <row r="79" spans="1:15" x14ac:dyDescent="0.35">
      <c r="A79" s="11" t="s">
        <v>156</v>
      </c>
      <c r="B79" s="24">
        <f>O59</f>
        <v>5.8623292000000014</v>
      </c>
    </row>
    <row r="80" spans="1:15" x14ac:dyDescent="0.35">
      <c r="A80" s="11" t="s">
        <v>157</v>
      </c>
      <c r="B80" s="24">
        <f>O60+O63+O64</f>
        <v>13.859999999999998</v>
      </c>
    </row>
    <row r="81" spans="1:2" x14ac:dyDescent="0.35">
      <c r="A81" s="11" t="s">
        <v>158</v>
      </c>
      <c r="B81" s="24">
        <f>O65</f>
        <v>-7.9976707999999972</v>
      </c>
    </row>
    <row r="82" spans="1:2" x14ac:dyDescent="0.35">
      <c r="A82" s="11" t="s">
        <v>159</v>
      </c>
      <c r="B82" s="24">
        <f>-O74</f>
        <v>9.2771056309042912</v>
      </c>
    </row>
    <row r="83" spans="1:2" x14ac:dyDescent="0.35">
      <c r="A83" s="11" t="s">
        <v>160</v>
      </c>
      <c r="B83" s="24">
        <f>N75</f>
        <v>23.31289436909573</v>
      </c>
    </row>
    <row r="84" spans="1:2" x14ac:dyDescent="0.35">
      <c r="A84" s="11" t="s">
        <v>161</v>
      </c>
      <c r="B84" s="24">
        <f>O63-$B$15*12</f>
        <v>2.6999999999999984</v>
      </c>
    </row>
    <row r="85" spans="1:2" x14ac:dyDescent="0.35">
      <c r="A85" s="11" t="s">
        <v>162</v>
      </c>
      <c r="B85" s="24">
        <f>$B$16*$B$17</f>
        <v>5.3999999999999995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55"/>
  <sheetViews>
    <sheetView workbookViewId="0">
      <pane xSplit="4" ySplit="64" topLeftCell="E6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44" customWidth="1"/>
    <col min="2" max="2" width="12" customWidth="1"/>
    <col min="3" max="30" width="11" customWidth="1"/>
  </cols>
  <sheetData>
    <row r="1" spans="1:30" ht="24" customHeight="1" x14ac:dyDescent="0.4">
      <c r="A1" s="1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35">
      <c r="A2" s="3" t="s">
        <v>164</v>
      </c>
    </row>
    <row r="3" spans="1:30" ht="104" x14ac:dyDescent="0.35">
      <c r="D3" s="11" t="s">
        <v>165</v>
      </c>
      <c r="H3" s="11" t="s">
        <v>166</v>
      </c>
      <c r="I3" s="11" t="s">
        <v>167</v>
      </c>
    </row>
    <row r="4" spans="1:30" ht="62.5" x14ac:dyDescent="0.35">
      <c r="A4" s="5" t="s">
        <v>168</v>
      </c>
      <c r="B4" s="12">
        <v>11</v>
      </c>
      <c r="D4" s="5" t="s">
        <v>169</v>
      </c>
      <c r="H4" s="15">
        <v>0.16</v>
      </c>
      <c r="I4" s="14">
        <v>9</v>
      </c>
    </row>
    <row r="5" spans="1:30" ht="62.5" x14ac:dyDescent="0.35">
      <c r="A5" s="5" t="s">
        <v>170</v>
      </c>
      <c r="B5" s="12">
        <v>0</v>
      </c>
      <c r="D5" s="5" t="s">
        <v>171</v>
      </c>
      <c r="H5" s="15">
        <v>0.72</v>
      </c>
      <c r="I5" s="14">
        <v>13</v>
      </c>
    </row>
    <row r="6" spans="1:30" ht="62.5" x14ac:dyDescent="0.35">
      <c r="A6" s="5" t="s">
        <v>172</v>
      </c>
      <c r="B6" s="12">
        <v>45</v>
      </c>
      <c r="D6" s="5" t="s">
        <v>173</v>
      </c>
      <c r="H6" s="15">
        <v>0.62</v>
      </c>
      <c r="I6" s="23">
        <f>MAX(10,$B$6)-1</f>
        <v>44</v>
      </c>
    </row>
    <row r="7" spans="1:30" ht="87.5" x14ac:dyDescent="0.35">
      <c r="A7" s="5" t="s">
        <v>174</v>
      </c>
      <c r="B7" s="12">
        <v>45</v>
      </c>
      <c r="D7" s="5" t="s">
        <v>175</v>
      </c>
      <c r="H7" s="15">
        <v>1.36</v>
      </c>
      <c r="I7" s="23">
        <f>MAX(0,$B$7-1)</f>
        <v>44</v>
      </c>
    </row>
    <row r="8" spans="1:30" ht="62.5" x14ac:dyDescent="0.35">
      <c r="A8" s="5" t="s">
        <v>176</v>
      </c>
      <c r="B8" s="12">
        <v>2</v>
      </c>
      <c r="D8" s="5" t="s">
        <v>177</v>
      </c>
      <c r="H8" s="15">
        <v>0.92</v>
      </c>
      <c r="I8" s="14">
        <v>59</v>
      </c>
    </row>
    <row r="9" spans="1:30" ht="75" x14ac:dyDescent="0.35">
      <c r="A9" s="5" t="s">
        <v>178</v>
      </c>
      <c r="B9" s="25">
        <v>1</v>
      </c>
      <c r="D9" s="5" t="s">
        <v>179</v>
      </c>
      <c r="H9" s="15">
        <v>0.52</v>
      </c>
      <c r="I9" s="14">
        <v>29</v>
      </c>
    </row>
    <row r="10" spans="1:30" ht="87.5" x14ac:dyDescent="0.35">
      <c r="A10" s="5" t="s">
        <v>180</v>
      </c>
      <c r="B10" s="12">
        <v>1</v>
      </c>
      <c r="D10" s="5" t="s">
        <v>181</v>
      </c>
      <c r="H10" s="15">
        <v>0.2</v>
      </c>
    </row>
    <row r="11" spans="1:30" ht="75" x14ac:dyDescent="0.35">
      <c r="A11" s="5" t="s">
        <v>182</v>
      </c>
      <c r="B11" s="12">
        <v>11</v>
      </c>
      <c r="D11" s="5" t="s">
        <v>183</v>
      </c>
      <c r="I11" s="14">
        <v>11</v>
      </c>
    </row>
    <row r="12" spans="1:30" ht="125" x14ac:dyDescent="0.35">
      <c r="A12" s="5" t="s">
        <v>184</v>
      </c>
      <c r="B12" s="15">
        <v>0.9</v>
      </c>
      <c r="D12" s="5" t="s">
        <v>185</v>
      </c>
    </row>
    <row r="13" spans="1:30" x14ac:dyDescent="0.35">
      <c r="A13" s="5" t="s">
        <v>186</v>
      </c>
      <c r="B13" s="25">
        <v>5.5E-2</v>
      </c>
    </row>
    <row r="14" spans="1:30" x14ac:dyDescent="0.35">
      <c r="A14" s="5" t="s">
        <v>187</v>
      </c>
      <c r="B14" s="15">
        <v>12.59</v>
      </c>
    </row>
    <row r="15" spans="1:30" x14ac:dyDescent="0.35">
      <c r="A15" s="5" t="s">
        <v>188</v>
      </c>
      <c r="B15" s="15">
        <v>8</v>
      </c>
    </row>
    <row r="16" spans="1:30" x14ac:dyDescent="0.35">
      <c r="A16" s="5" t="s">
        <v>189</v>
      </c>
      <c r="B16" s="18">
        <v>2778.8919999999998</v>
      </c>
    </row>
    <row r="17" spans="1:2" x14ac:dyDescent="0.35">
      <c r="A17" s="5" t="s">
        <v>190</v>
      </c>
      <c r="B17" s="18">
        <v>1973.1873333333331</v>
      </c>
    </row>
    <row r="18" spans="1:2" x14ac:dyDescent="0.35">
      <c r="A18" s="5" t="s">
        <v>191</v>
      </c>
      <c r="B18" s="18">
        <v>2655</v>
      </c>
    </row>
    <row r="19" spans="1:2" x14ac:dyDescent="0.35">
      <c r="A19" s="5" t="s">
        <v>192</v>
      </c>
      <c r="B19" s="18">
        <v>2124</v>
      </c>
    </row>
    <row r="20" spans="1:2" x14ac:dyDescent="0.35">
      <c r="A20" s="5" t="s">
        <v>193</v>
      </c>
      <c r="B20" s="18">
        <v>275.625</v>
      </c>
    </row>
    <row r="21" spans="1:2" x14ac:dyDescent="0.35">
      <c r="A21" s="5" t="s">
        <v>194</v>
      </c>
      <c r="B21" s="18">
        <v>118.6666666666667</v>
      </c>
    </row>
    <row r="22" spans="1:2" x14ac:dyDescent="0.35">
      <c r="A22" s="5" t="s">
        <v>195</v>
      </c>
      <c r="B22" s="18">
        <v>111.6</v>
      </c>
    </row>
    <row r="23" spans="1:2" x14ac:dyDescent="0.35">
      <c r="A23" s="5" t="s">
        <v>196</v>
      </c>
      <c r="B23" s="18">
        <v>566.36666666666679</v>
      </c>
    </row>
    <row r="24" spans="1:2" x14ac:dyDescent="0.35">
      <c r="A24" s="5" t="s">
        <v>197</v>
      </c>
      <c r="B24" s="13">
        <v>0.8</v>
      </c>
    </row>
    <row r="25" spans="1:2" x14ac:dyDescent="0.35">
      <c r="A25" s="5" t="s">
        <v>198</v>
      </c>
      <c r="B25" s="13">
        <v>9.5000000000000001E-2</v>
      </c>
    </row>
    <row r="26" spans="1:2" x14ac:dyDescent="0.35">
      <c r="A26" s="5" t="s">
        <v>199</v>
      </c>
      <c r="B26" s="13">
        <v>0.04</v>
      </c>
    </row>
    <row r="27" spans="1:2" x14ac:dyDescent="0.35">
      <c r="A27" s="5" t="s">
        <v>200</v>
      </c>
      <c r="B27" s="13">
        <v>2E-3</v>
      </c>
    </row>
    <row r="28" spans="1:2" x14ac:dyDescent="0.35">
      <c r="A28" s="5" t="s">
        <v>201</v>
      </c>
      <c r="B28" s="13">
        <v>2E-3</v>
      </c>
    </row>
    <row r="29" spans="1:2" x14ac:dyDescent="0.35">
      <c r="A29" s="5" t="s">
        <v>202</v>
      </c>
      <c r="B29" s="15">
        <v>5.7000000000000002E-2</v>
      </c>
    </row>
    <row r="30" spans="1:2" x14ac:dyDescent="0.35">
      <c r="A30" s="5" t="s">
        <v>203</v>
      </c>
      <c r="B30" s="15">
        <v>1.9E-2</v>
      </c>
    </row>
    <row r="31" spans="1:2" x14ac:dyDescent="0.35">
      <c r="A31" s="5" t="s">
        <v>204</v>
      </c>
      <c r="B31" s="15">
        <v>2E-3</v>
      </c>
    </row>
    <row r="32" spans="1:2" x14ac:dyDescent="0.35">
      <c r="A32" s="5" t="s">
        <v>205</v>
      </c>
      <c r="B32" s="15">
        <v>2E-3</v>
      </c>
    </row>
    <row r="33" spans="1:5" x14ac:dyDescent="0.35">
      <c r="A33" s="5" t="s">
        <v>206</v>
      </c>
      <c r="B33" s="15">
        <v>0.12</v>
      </c>
    </row>
    <row r="34" spans="1:5" x14ac:dyDescent="0.35">
      <c r="A34" s="5" t="s">
        <v>207</v>
      </c>
      <c r="B34" s="15">
        <v>10</v>
      </c>
    </row>
    <row r="35" spans="1:5" x14ac:dyDescent="0.35">
      <c r="A35" s="5" t="s">
        <v>208</v>
      </c>
      <c r="B35" s="15">
        <v>0.3</v>
      </c>
    </row>
    <row r="36" spans="1:5" x14ac:dyDescent="0.35">
      <c r="A36" s="5" t="s">
        <v>209</v>
      </c>
      <c r="B36" s="15">
        <v>0.12</v>
      </c>
    </row>
    <row r="37" spans="1:5" ht="25" x14ac:dyDescent="0.35">
      <c r="A37" s="5" t="s">
        <v>210</v>
      </c>
      <c r="B37" s="26">
        <v>5.0000000000000001E-3</v>
      </c>
    </row>
    <row r="38" spans="1:5" x14ac:dyDescent="0.35">
      <c r="A38" s="9" t="s">
        <v>211</v>
      </c>
      <c r="B38" s="10"/>
      <c r="C38" s="10" t="s">
        <v>212</v>
      </c>
      <c r="D38" s="10" t="s">
        <v>213</v>
      </c>
      <c r="E38" s="10" t="s">
        <v>214</v>
      </c>
    </row>
    <row r="39" spans="1:5" x14ac:dyDescent="0.35">
      <c r="A39" s="5" t="s">
        <v>133</v>
      </c>
      <c r="C39" s="27">
        <f>'02_Plan'!C51</f>
        <v>5383.333333333333</v>
      </c>
      <c r="D39" s="27">
        <f>'02_Plan'!D51</f>
        <v>5383.333333333333</v>
      </c>
      <c r="E39" s="27">
        <f>'02_Plan'!E51</f>
        <v>5700</v>
      </c>
    </row>
    <row r="40" spans="1:5" x14ac:dyDescent="0.35">
      <c r="A40" s="5" t="s">
        <v>74</v>
      </c>
      <c r="C40" s="27">
        <f>'02_Plan'!C52</f>
        <v>6375</v>
      </c>
      <c r="D40" s="27">
        <f>'02_Plan'!D52</f>
        <v>6375</v>
      </c>
      <c r="E40" s="27">
        <f>'02_Plan'!E52</f>
        <v>6750</v>
      </c>
    </row>
    <row r="41" spans="1:5" x14ac:dyDescent="0.35">
      <c r="A41" s="5" t="s">
        <v>75</v>
      </c>
      <c r="C41" s="27">
        <f>'02_Plan'!C53</f>
        <v>3541.6666666666665</v>
      </c>
      <c r="D41" s="27">
        <f>'02_Plan'!D53</f>
        <v>3541.6666666666665</v>
      </c>
      <c r="E41" s="27">
        <f>'02_Plan'!E53</f>
        <v>3750</v>
      </c>
    </row>
    <row r="42" spans="1:5" x14ac:dyDescent="0.35">
      <c r="A42" s="5" t="s">
        <v>146</v>
      </c>
      <c r="C42" s="28">
        <f>'02_Plan'!C68</f>
        <v>2.4741888888888894</v>
      </c>
      <c r="D42" s="28">
        <f>'02_Plan'!D68</f>
        <v>1.7665222222222212</v>
      </c>
      <c r="E42" s="28">
        <f>'02_Plan'!E68</f>
        <v>1.9605333333333341</v>
      </c>
    </row>
    <row r="43" spans="1:5" x14ac:dyDescent="0.35">
      <c r="A43" s="5" t="s">
        <v>136</v>
      </c>
      <c r="C43" s="28">
        <f>'02_Plan'!C58</f>
        <v>0.74437500000000001</v>
      </c>
      <c r="D43" s="28">
        <f>'02_Plan'!D58</f>
        <v>0.74437500000000001</v>
      </c>
      <c r="E43" s="28">
        <f>'02_Plan'!E58</f>
        <v>0.78375000000000006</v>
      </c>
    </row>
    <row r="44" spans="1:5" x14ac:dyDescent="0.35">
      <c r="A44" s="5" t="s">
        <v>138</v>
      </c>
      <c r="C44" s="28">
        <f>'02_Plan'!C60</f>
        <v>0.12</v>
      </c>
      <c r="D44" s="28">
        <f>'02_Plan'!D60</f>
        <v>0.12</v>
      </c>
      <c r="E44" s="28">
        <f>'02_Plan'!E60</f>
        <v>0.12</v>
      </c>
    </row>
    <row r="45" spans="1:5" x14ac:dyDescent="0.35">
      <c r="A45" s="5" t="s">
        <v>141</v>
      </c>
      <c r="C45" s="28">
        <f>'02_Plan'!C63</f>
        <v>0.48874999999999996</v>
      </c>
      <c r="D45" s="28">
        <f>'02_Plan'!D63</f>
        <v>0.52625</v>
      </c>
      <c r="E45" s="28">
        <f>'02_Plan'!E63</f>
        <v>0.56374999999999997</v>
      </c>
    </row>
    <row r="46" spans="1:5" x14ac:dyDescent="0.35">
      <c r="A46" s="5" t="s">
        <v>142</v>
      </c>
      <c r="C46" s="28">
        <f>'02_Plan'!C64</f>
        <v>0.21</v>
      </c>
      <c r="D46" s="28">
        <f>'02_Plan'!D64</f>
        <v>0.21</v>
      </c>
      <c r="E46" s="28">
        <f>'02_Plan'!E64</f>
        <v>0.21</v>
      </c>
    </row>
    <row r="47" spans="1:5" x14ac:dyDescent="0.35">
      <c r="A47" s="5" t="s">
        <v>131</v>
      </c>
      <c r="C47" s="28">
        <f>'02_Plan'!C49</f>
        <v>0</v>
      </c>
      <c r="D47" s="28">
        <f>'02_Plan'!D49</f>
        <v>0.8</v>
      </c>
      <c r="E47" s="28">
        <f>'02_Plan'!E49</f>
        <v>0</v>
      </c>
    </row>
    <row r="48" spans="1:5" x14ac:dyDescent="0.35">
      <c r="A48" s="5" t="s">
        <v>104</v>
      </c>
      <c r="C48" s="28">
        <f>'02_Plan'!C54</f>
        <v>3.3638750000000002</v>
      </c>
      <c r="D48" s="28">
        <f>'02_Plan'!D54</f>
        <v>3.3638750000000002</v>
      </c>
      <c r="E48" s="28">
        <f>'02_Plan'!E54</f>
        <v>3.56175</v>
      </c>
    </row>
    <row r="49" spans="1:30" x14ac:dyDescent="0.35">
      <c r="A49" s="5" t="s">
        <v>132</v>
      </c>
      <c r="C49" s="27">
        <f>'02_Plan'!C50</f>
        <v>30</v>
      </c>
      <c r="D49" s="27">
        <f>'02_Plan'!D50</f>
        <v>31</v>
      </c>
      <c r="E49" s="27">
        <f>'02_Plan'!E50</f>
        <v>30</v>
      </c>
    </row>
    <row r="50" spans="1:30" x14ac:dyDescent="0.35">
      <c r="A50" s="5" t="s">
        <v>215</v>
      </c>
      <c r="C50" s="14">
        <v>0</v>
      </c>
      <c r="D50" s="14">
        <v>30</v>
      </c>
      <c r="E50" s="14">
        <v>61</v>
      </c>
    </row>
    <row r="51" spans="1:30" x14ac:dyDescent="0.35">
      <c r="A51" s="5" t="s">
        <v>216</v>
      </c>
      <c r="C51" s="14">
        <v>29</v>
      </c>
      <c r="D51" s="14">
        <v>58</v>
      </c>
      <c r="E51" s="14">
        <v>90</v>
      </c>
    </row>
    <row r="53" spans="1:30" x14ac:dyDescent="0.35">
      <c r="A53" s="9" t="s">
        <v>217</v>
      </c>
      <c r="B53" s="10"/>
      <c r="C53" s="10" t="s">
        <v>218</v>
      </c>
      <c r="D53" s="10" t="s">
        <v>219</v>
      </c>
    </row>
    <row r="54" spans="1:30" x14ac:dyDescent="0.35">
      <c r="A54" s="5" t="s">
        <v>220</v>
      </c>
      <c r="C54" s="20">
        <f>C48*'02_Plan'!$B$32</f>
        <v>0.60549750000000002</v>
      </c>
      <c r="D54" s="20">
        <f>D48*'02_Plan'!$B$32</f>
        <v>0.60549750000000002</v>
      </c>
    </row>
    <row r="55" spans="1:30" x14ac:dyDescent="0.35">
      <c r="A55" s="5" t="s">
        <v>221</v>
      </c>
      <c r="C55" s="20">
        <f>(C42+C43+C44+C46+C47+(C39*$B$20+C40*$B$21+C41*$B$22)/10000000+C40*$B$23/10000000)*'02_Plan'!$B$32</f>
        <v>0.75117163750000004</v>
      </c>
      <c r="D55" s="20">
        <f>(D42+D43+D44+D46+D47+(D39*$B$20+D40*$B$21+D41*$B$22)/10000000+D40*$B$23/10000000)*'02_Plan'!$B$32</f>
        <v>0.76779163749999979</v>
      </c>
    </row>
    <row r="56" spans="1:30" x14ac:dyDescent="0.35">
      <c r="A56" s="5" t="s">
        <v>222</v>
      </c>
      <c r="C56" s="20">
        <f>C40*'02_Plan'!$C$36/10000000*$B$37</f>
        <v>7.1718750000000003E-3</v>
      </c>
      <c r="D56" s="20">
        <f>D40*'02_Plan'!$C$36/10000000*$B$37</f>
        <v>7.1718750000000003E-3</v>
      </c>
    </row>
    <row r="57" spans="1:30" x14ac:dyDescent="0.35">
      <c r="A57" s="5" t="s">
        <v>223</v>
      </c>
      <c r="C57" s="20">
        <f>C55*$B$9+$B$36</f>
        <v>0.87117163750000004</v>
      </c>
      <c r="D57" s="20">
        <f>D55*$B$9+C58</f>
        <v>0.76779163749999979</v>
      </c>
    </row>
    <row r="58" spans="1:30" x14ac:dyDescent="0.35">
      <c r="A58" s="5" t="s">
        <v>224</v>
      </c>
      <c r="C58" s="20">
        <f>C55*(1-$B$9)</f>
        <v>0</v>
      </c>
      <c r="D58" s="20">
        <f>D55*(1-$B$9)</f>
        <v>0</v>
      </c>
    </row>
    <row r="59" spans="1:30" x14ac:dyDescent="0.35">
      <c r="A59" s="5" t="s">
        <v>225</v>
      </c>
      <c r="C59" s="20">
        <f>C54-C57-$B$35-C56</f>
        <v>-0.57284601250000011</v>
      </c>
      <c r="D59" s="20">
        <f>D54-D57-C60-D56</f>
        <v>-0.74231202499999993</v>
      </c>
    </row>
    <row r="60" spans="1:30" x14ac:dyDescent="0.35">
      <c r="A60" s="5" t="s">
        <v>226</v>
      </c>
      <c r="C60" s="20">
        <f>MAX(0,-C59)</f>
        <v>0.57284601250000011</v>
      </c>
      <c r="D60" s="20">
        <f>MAX(0,-D59)</f>
        <v>0.74231202499999993</v>
      </c>
    </row>
    <row r="61" spans="1:30" x14ac:dyDescent="0.35">
      <c r="A61" s="5" t="s">
        <v>227</v>
      </c>
      <c r="C61" s="20">
        <f>MAX(0,C59)</f>
        <v>0</v>
      </c>
      <c r="D61" s="20">
        <f>MAX(0,D59)</f>
        <v>0</v>
      </c>
    </row>
    <row r="62" spans="1:30" x14ac:dyDescent="0.35">
      <c r="A62" s="5" t="s">
        <v>228</v>
      </c>
      <c r="B62" s="29">
        <f>IF($B$8=0,0,$H$10*((1+3*$B$13/12)^((($B$8-1)*7+$I$11)/(365/12))-1))</f>
        <v>1.6228591958544758E-3</v>
      </c>
    </row>
    <row r="64" spans="1:30" ht="39" x14ac:dyDescent="0.35">
      <c r="A64" s="9" t="s">
        <v>229</v>
      </c>
      <c r="B64" s="10" t="s">
        <v>230</v>
      </c>
      <c r="C64" s="10" t="s">
        <v>231</v>
      </c>
      <c r="D64" s="10" t="s">
        <v>232</v>
      </c>
      <c r="E64" s="10" t="s">
        <v>233</v>
      </c>
      <c r="F64" s="10" t="s">
        <v>234</v>
      </c>
      <c r="G64" s="10" t="s">
        <v>75</v>
      </c>
      <c r="H64" s="10" t="s">
        <v>146</v>
      </c>
      <c r="I64" s="10" t="s">
        <v>235</v>
      </c>
      <c r="J64" s="10" t="s">
        <v>236</v>
      </c>
      <c r="K64" s="10" t="s">
        <v>237</v>
      </c>
      <c r="L64" s="10" t="s">
        <v>238</v>
      </c>
      <c r="M64" s="10" t="s">
        <v>239</v>
      </c>
      <c r="N64" s="10" t="s">
        <v>151</v>
      </c>
      <c r="O64" s="10" t="s">
        <v>240</v>
      </c>
      <c r="P64" s="10" t="s">
        <v>241</v>
      </c>
      <c r="Q64" s="10" t="s">
        <v>242</v>
      </c>
      <c r="R64" s="10" t="s">
        <v>243</v>
      </c>
      <c r="S64" s="10" t="s">
        <v>244</v>
      </c>
      <c r="T64" s="10" t="s">
        <v>245</v>
      </c>
      <c r="U64" s="10" t="s">
        <v>246</v>
      </c>
      <c r="V64" s="10" t="s">
        <v>247</v>
      </c>
      <c r="W64" s="10" t="s">
        <v>248</v>
      </c>
      <c r="X64" s="10" t="s">
        <v>249</v>
      </c>
      <c r="Y64" s="10" t="s">
        <v>250</v>
      </c>
      <c r="Z64" s="10" t="s">
        <v>131</v>
      </c>
      <c r="AA64" s="10" t="s">
        <v>251</v>
      </c>
      <c r="AB64" s="10" t="s">
        <v>252</v>
      </c>
      <c r="AC64" s="10" t="s">
        <v>253</v>
      </c>
      <c r="AD64" s="10" t="s">
        <v>254</v>
      </c>
    </row>
    <row r="65" spans="1:30" x14ac:dyDescent="0.35">
      <c r="A65" s="14">
        <v>0</v>
      </c>
      <c r="B65" s="30">
        <f t="shared" ref="B65:B96" si="0">DATE(2026,4,1)+A65</f>
        <v>46113</v>
      </c>
      <c r="C65" s="23">
        <f t="shared" ref="C65:C96" si="1">INT(A65/7)+1</f>
        <v>1</v>
      </c>
      <c r="D65" s="23">
        <f t="shared" ref="D65:D96" si="2">IF(A65&lt;30,1,IF(A65&lt;61,2,3))</f>
        <v>1</v>
      </c>
      <c r="E65" s="22">
        <f t="shared" ref="E65:E96" si="3">INDEX($C$39:$E$39,D65)/INDEX($C$49:$E$49,D65)</f>
        <v>179.44444444444443</v>
      </c>
      <c r="F65" s="22">
        <f t="shared" ref="F65:F96" si="4">INDEX($C$40:$E$40,D65)/INDEX($C$49:$E$49,D65)</f>
        <v>212.5</v>
      </c>
      <c r="G65" s="22">
        <f t="shared" ref="G65:G96" si="5">INDEX($C$41:$E$41,D65)/INDEX($C$49:$E$49,D65)</f>
        <v>118.05555555555556</v>
      </c>
      <c r="H65" s="19">
        <f t="shared" ref="H65:H96" si="6">INDEX($C$42:$E$42,D65)/INDEX($C$49:$E$49,D65)</f>
        <v>8.2472962962962984E-2</v>
      </c>
      <c r="I65" s="19">
        <f>(E65*$B$20+F65*$B$21+G65*$B$22)*(1+'02_Plan'!$B$32)/10000000</f>
        <v>1.0366422916666666E-2</v>
      </c>
      <c r="J65" s="19">
        <f>INDEX($C$43:$E$43,D65)/INDEX($C$49:$E$49,D65)*(1+'02_Plan'!$B$32)</f>
        <v>2.9278749999999999E-2</v>
      </c>
      <c r="K65" s="19">
        <f t="shared" ref="K65:K96" si="7">0.6*$B$16*IF(A65&gt;=5,INDEX($E$65:$E$155,A65-5+1),0)/10000000+0.4*$B$16*IF(A65&gt;=10,INDEX($E$65:$E$155,A65-10+1),0)/10000000+IF(A65&lt;=$I$4,$H$4/($I$4+1),0)</f>
        <v>1.6E-2</v>
      </c>
      <c r="L65" s="19">
        <f t="shared" ref="L65:L96" si="8">IF($B$5=1,F65*$B$18/10000000+IF(A65=0,$H$5,0),IF(A65&gt;=$B$4,INDEX($F$65:$F$155,A65-$B$4+1),0)*$B$17/10000000+IF(A65&lt;=$I$5,$H$5/($I$5+1),0))</f>
        <v>5.1428571428571428E-2</v>
      </c>
      <c r="M65" s="19">
        <f t="shared" ref="M65:M96" si="9">IF(A65&gt;=$B$6,INDEX($G$65:$G$155,A65-$B$6+1),0)*$B$19/10000000+IF(A65&lt;=$I$6,$H$6/($I$6+1),0)</f>
        <v>1.3777777777777778E-2</v>
      </c>
      <c r="N65" s="19">
        <f>IF(OR(A65=29,A65=60,A65=90),$B$34*'02_Plan'!$B$25/12,0)</f>
        <v>0</v>
      </c>
      <c r="O65" s="19">
        <f>IF(A65&gt;=$B$7,INDEX($H$65:$H$155,A65-$B$7+1),0)*'02_Plan'!$B$31*(1+'02_Plan'!$B$32)+IF(A65&lt;=$I$7,$H$7/($I$7+1),0)</f>
        <v>3.0222222222222223E-2</v>
      </c>
      <c r="P65" s="19">
        <f>IF(A65&gt;=60,INDEX($H$65:$H$155,A65-60+1),0)*(1-'02_Plan'!$B$31)*(1+'02_Plan'!$B$32)+IF(A65&lt;=$I$8,$H$8/($I$8+1),0)</f>
        <v>1.5333333333333334E-2</v>
      </c>
      <c r="Q65" s="19">
        <f t="shared" ref="Q65:Q96" si="10">IF(AND($B$8&gt;0,A65=($B$8-1)*7),$H$10+$B$62,0)</f>
        <v>0</v>
      </c>
      <c r="R65" s="19">
        <f t="shared" ref="R65:R96" si="11">IF(A65&gt;=15,INDEX($I$65:$I$155,A65-15+1),0)+IF(A65&lt;=$I$9,$H$9/($I$9+1),0)</f>
        <v>1.7333333333333333E-2</v>
      </c>
      <c r="S65" s="19">
        <f>J65+IF(A65=INDEX($C$51:$E$51,D65),INDEX($C$44:$E$44,D65)*(1+'02_Plan'!$B$32),0)</f>
        <v>2.9278749999999999E-2</v>
      </c>
      <c r="T65" s="19">
        <f t="shared" ref="T65:T96" si="12">IF(A65=INDEX($C$51:$E$51,D65),INDEX($C$45:$E$45,D65)*$B$24,0)</f>
        <v>0</v>
      </c>
      <c r="U65" s="19">
        <f t="shared" ref="U65:U96" si="13">$B$10*(IF(A65=19,$B$33,0)+IF(A65=49,$C$61,0)+IF(A65=80,$D$61,0))</f>
        <v>0</v>
      </c>
      <c r="V65" s="19">
        <f t="shared" ref="V65:V96" si="14">$B$10*(IF(A65=29,$B$29,0)+IF(A65=36,$C$45*$B$25,0)+IF(A65=67,$D$45*$B$25,0))</f>
        <v>0</v>
      </c>
      <c r="W65" s="19">
        <f t="shared" ref="W65:W96" si="15">$B$10*(IF(A65=14,$B$30+$B$31,0)+IF(A65=44,$C$45*($B$26+$B$27),0)+IF(A65=75,$D$45*($B$26+$B$27),0))</f>
        <v>0</v>
      </c>
      <c r="X65" s="19">
        <f t="shared" ref="X65:X96" si="16">$B$10*(IF(A65=19,$B$32,0)+IF(A65=49,$C$45*$B$28,0)+IF(A65=80,$D$45*$B$28,0))</f>
        <v>0</v>
      </c>
      <c r="Y65" s="19">
        <f>IF(A65=INDEX($C$50:$E$50,D65)+4,INDEX($C$46:$E$46,D65)*0.3*(1+'02_Plan'!$B$32),0)+IF(A65=INDEX($C$50:$E$50,D65)+9,INDEX($C$46:$E$46,D65)*0.7*(1+'02_Plan'!$B$32),0)</f>
        <v>0</v>
      </c>
      <c r="Z65" s="19">
        <f>IF(A65=INDEX($C$50:$E$50,D65)+14,INDEX($C$47:$E$47,D65)*(1+'02_Plan'!$B$32),0)</f>
        <v>0</v>
      </c>
      <c r="AA65" s="19">
        <f t="shared" ref="AA65:AA96" si="17">IF(AND($B$11&gt;0,A65=($B$11-1)*7+1),$B$12,0)</f>
        <v>0</v>
      </c>
      <c r="AB65" s="19">
        <f t="shared" ref="AB65:AB96" si="18">SUM(K65:N65)</f>
        <v>8.1206349206349199E-2</v>
      </c>
      <c r="AC65" s="19">
        <f t="shared" ref="AC65:AC96" si="19">SUM(O65:AA65)</f>
        <v>9.2167638888888875E-2</v>
      </c>
      <c r="AD65" s="19">
        <f t="shared" ref="AD65:AD96" si="20">AB65-AC65</f>
        <v>-1.0961289682539677E-2</v>
      </c>
    </row>
    <row r="66" spans="1:30" x14ac:dyDescent="0.35">
      <c r="A66" s="14">
        <v>1</v>
      </c>
      <c r="B66" s="30">
        <f t="shared" si="0"/>
        <v>46114</v>
      </c>
      <c r="C66" s="23">
        <f t="shared" si="1"/>
        <v>1</v>
      </c>
      <c r="D66" s="23">
        <f t="shared" si="2"/>
        <v>1</v>
      </c>
      <c r="E66" s="22">
        <f t="shared" si="3"/>
        <v>179.44444444444443</v>
      </c>
      <c r="F66" s="22">
        <f t="shared" si="4"/>
        <v>212.5</v>
      </c>
      <c r="G66" s="22">
        <f t="shared" si="5"/>
        <v>118.05555555555556</v>
      </c>
      <c r="H66" s="19">
        <f t="shared" si="6"/>
        <v>8.2472962962962984E-2</v>
      </c>
      <c r="I66" s="19">
        <f>(E66*$B$20+F66*$B$21+G66*$B$22)*(1+'02_Plan'!$B$32)/10000000</f>
        <v>1.0366422916666666E-2</v>
      </c>
      <c r="J66" s="19">
        <f>INDEX($C$43:$E$43,D66)/INDEX($C$49:$E$49,D66)*(1+'02_Plan'!$B$32)</f>
        <v>2.9278749999999999E-2</v>
      </c>
      <c r="K66" s="19">
        <f t="shared" si="7"/>
        <v>1.6E-2</v>
      </c>
      <c r="L66" s="19">
        <f t="shared" si="8"/>
        <v>5.1428571428571428E-2</v>
      </c>
      <c r="M66" s="19">
        <f t="shared" si="9"/>
        <v>1.3777777777777778E-2</v>
      </c>
      <c r="N66" s="19">
        <f>IF(OR(A66=29,A66=60,A66=90),$B$34*'02_Plan'!$B$25/12,0)</f>
        <v>0</v>
      </c>
      <c r="O66" s="19">
        <f>IF(A66&gt;=$B$7,INDEX($H$65:$H$155,A66-$B$7+1),0)*'02_Plan'!$B$31*(1+'02_Plan'!$B$32)+IF(A66&lt;=$I$7,$H$7/($I$7+1),0)</f>
        <v>3.0222222222222223E-2</v>
      </c>
      <c r="P66" s="19">
        <f>IF(A66&gt;=60,INDEX($H$65:$H$155,A66-60+1),0)*(1-'02_Plan'!$B$31)*(1+'02_Plan'!$B$32)+IF(A66&lt;=$I$8,$H$8/($I$8+1),0)</f>
        <v>1.5333333333333334E-2</v>
      </c>
      <c r="Q66" s="19">
        <f t="shared" si="10"/>
        <v>0</v>
      </c>
      <c r="R66" s="19">
        <f t="shared" si="11"/>
        <v>1.7333333333333333E-2</v>
      </c>
      <c r="S66" s="19">
        <f>J66+IF(A66=INDEX($C$51:$E$51,D66),INDEX($C$44:$E$44,D66)*(1+'02_Plan'!$B$32),0)</f>
        <v>2.9278749999999999E-2</v>
      </c>
      <c r="T66" s="19">
        <f t="shared" si="12"/>
        <v>0</v>
      </c>
      <c r="U66" s="19">
        <f t="shared" si="13"/>
        <v>0</v>
      </c>
      <c r="V66" s="19">
        <f t="shared" si="14"/>
        <v>0</v>
      </c>
      <c r="W66" s="19">
        <f t="shared" si="15"/>
        <v>0</v>
      </c>
      <c r="X66" s="19">
        <f t="shared" si="16"/>
        <v>0</v>
      </c>
      <c r="Y66" s="19">
        <f>IF(A66=INDEX($C$50:$E$50,D66)+4,INDEX($C$46:$E$46,D66)*0.3*(1+'02_Plan'!$B$32),0)+IF(A66=INDEX($C$50:$E$50,D66)+9,INDEX($C$46:$E$46,D66)*0.7*(1+'02_Plan'!$B$32),0)</f>
        <v>0</v>
      </c>
      <c r="Z66" s="19">
        <f>IF(A66=INDEX($C$50:$E$50,D66)+14,INDEX($C$47:$E$47,D66)*(1+'02_Plan'!$B$32),0)</f>
        <v>0</v>
      </c>
      <c r="AA66" s="19">
        <f t="shared" si="17"/>
        <v>0</v>
      </c>
      <c r="AB66" s="19">
        <f t="shared" si="18"/>
        <v>8.1206349206349199E-2</v>
      </c>
      <c r="AC66" s="19">
        <f t="shared" si="19"/>
        <v>9.2167638888888875E-2</v>
      </c>
      <c r="AD66" s="19">
        <f t="shared" si="20"/>
        <v>-1.0961289682539677E-2</v>
      </c>
    </row>
    <row r="67" spans="1:30" x14ac:dyDescent="0.35">
      <c r="A67" s="14">
        <v>2</v>
      </c>
      <c r="B67" s="30">
        <f t="shared" si="0"/>
        <v>46115</v>
      </c>
      <c r="C67" s="23">
        <f t="shared" si="1"/>
        <v>1</v>
      </c>
      <c r="D67" s="23">
        <f t="shared" si="2"/>
        <v>1</v>
      </c>
      <c r="E67" s="22">
        <f t="shared" si="3"/>
        <v>179.44444444444443</v>
      </c>
      <c r="F67" s="22">
        <f t="shared" si="4"/>
        <v>212.5</v>
      </c>
      <c r="G67" s="22">
        <f t="shared" si="5"/>
        <v>118.05555555555556</v>
      </c>
      <c r="H67" s="19">
        <f t="shared" si="6"/>
        <v>8.2472962962962984E-2</v>
      </c>
      <c r="I67" s="19">
        <f>(E67*$B$20+F67*$B$21+G67*$B$22)*(1+'02_Plan'!$B$32)/10000000</f>
        <v>1.0366422916666666E-2</v>
      </c>
      <c r="J67" s="19">
        <f>INDEX($C$43:$E$43,D67)/INDEX($C$49:$E$49,D67)*(1+'02_Plan'!$B$32)</f>
        <v>2.9278749999999999E-2</v>
      </c>
      <c r="K67" s="19">
        <f t="shared" si="7"/>
        <v>1.6E-2</v>
      </c>
      <c r="L67" s="19">
        <f t="shared" si="8"/>
        <v>5.1428571428571428E-2</v>
      </c>
      <c r="M67" s="19">
        <f t="shared" si="9"/>
        <v>1.3777777777777778E-2</v>
      </c>
      <c r="N67" s="19">
        <f>IF(OR(A67=29,A67=60,A67=90),$B$34*'02_Plan'!$B$25/12,0)</f>
        <v>0</v>
      </c>
      <c r="O67" s="19">
        <f>IF(A67&gt;=$B$7,INDEX($H$65:$H$155,A67-$B$7+1),0)*'02_Plan'!$B$31*(1+'02_Plan'!$B$32)+IF(A67&lt;=$I$7,$H$7/($I$7+1),0)</f>
        <v>3.0222222222222223E-2</v>
      </c>
      <c r="P67" s="19">
        <f>IF(A67&gt;=60,INDEX($H$65:$H$155,A67-60+1),0)*(1-'02_Plan'!$B$31)*(1+'02_Plan'!$B$32)+IF(A67&lt;=$I$8,$H$8/($I$8+1),0)</f>
        <v>1.5333333333333334E-2</v>
      </c>
      <c r="Q67" s="19">
        <f t="shared" si="10"/>
        <v>0</v>
      </c>
      <c r="R67" s="19">
        <f t="shared" si="11"/>
        <v>1.7333333333333333E-2</v>
      </c>
      <c r="S67" s="19">
        <f>J67+IF(A67=INDEX($C$51:$E$51,D67),INDEX($C$44:$E$44,D67)*(1+'02_Plan'!$B$32),0)</f>
        <v>2.9278749999999999E-2</v>
      </c>
      <c r="T67" s="19">
        <f t="shared" si="12"/>
        <v>0</v>
      </c>
      <c r="U67" s="19">
        <f t="shared" si="13"/>
        <v>0</v>
      </c>
      <c r="V67" s="19">
        <f t="shared" si="14"/>
        <v>0</v>
      </c>
      <c r="W67" s="19">
        <f t="shared" si="15"/>
        <v>0</v>
      </c>
      <c r="X67" s="19">
        <f t="shared" si="16"/>
        <v>0</v>
      </c>
      <c r="Y67" s="19">
        <f>IF(A67=INDEX($C$50:$E$50,D67)+4,INDEX($C$46:$E$46,D67)*0.3*(1+'02_Plan'!$B$32),0)+IF(A67=INDEX($C$50:$E$50,D67)+9,INDEX($C$46:$E$46,D67)*0.7*(1+'02_Plan'!$B$32),0)</f>
        <v>0</v>
      </c>
      <c r="Z67" s="19">
        <f>IF(A67=INDEX($C$50:$E$50,D67)+14,INDEX($C$47:$E$47,D67)*(1+'02_Plan'!$B$32),0)</f>
        <v>0</v>
      </c>
      <c r="AA67" s="19">
        <f t="shared" si="17"/>
        <v>0</v>
      </c>
      <c r="AB67" s="19">
        <f t="shared" si="18"/>
        <v>8.1206349206349199E-2</v>
      </c>
      <c r="AC67" s="19">
        <f t="shared" si="19"/>
        <v>9.2167638888888875E-2</v>
      </c>
      <c r="AD67" s="19">
        <f t="shared" si="20"/>
        <v>-1.0961289682539677E-2</v>
      </c>
    </row>
    <row r="68" spans="1:30" x14ac:dyDescent="0.35">
      <c r="A68" s="14">
        <v>3</v>
      </c>
      <c r="B68" s="30">
        <f t="shared" si="0"/>
        <v>46116</v>
      </c>
      <c r="C68" s="23">
        <f t="shared" si="1"/>
        <v>1</v>
      </c>
      <c r="D68" s="23">
        <f t="shared" si="2"/>
        <v>1</v>
      </c>
      <c r="E68" s="22">
        <f t="shared" si="3"/>
        <v>179.44444444444443</v>
      </c>
      <c r="F68" s="22">
        <f t="shared" si="4"/>
        <v>212.5</v>
      </c>
      <c r="G68" s="22">
        <f t="shared" si="5"/>
        <v>118.05555555555556</v>
      </c>
      <c r="H68" s="19">
        <f t="shared" si="6"/>
        <v>8.2472962962962984E-2</v>
      </c>
      <c r="I68" s="19">
        <f>(E68*$B$20+F68*$B$21+G68*$B$22)*(1+'02_Plan'!$B$32)/10000000</f>
        <v>1.0366422916666666E-2</v>
      </c>
      <c r="J68" s="19">
        <f>INDEX($C$43:$E$43,D68)/INDEX($C$49:$E$49,D68)*(1+'02_Plan'!$B$32)</f>
        <v>2.9278749999999999E-2</v>
      </c>
      <c r="K68" s="19">
        <f t="shared" si="7"/>
        <v>1.6E-2</v>
      </c>
      <c r="L68" s="19">
        <f t="shared" si="8"/>
        <v>5.1428571428571428E-2</v>
      </c>
      <c r="M68" s="19">
        <f t="shared" si="9"/>
        <v>1.3777777777777778E-2</v>
      </c>
      <c r="N68" s="19">
        <f>IF(OR(A68=29,A68=60,A68=90),$B$34*'02_Plan'!$B$25/12,0)</f>
        <v>0</v>
      </c>
      <c r="O68" s="19">
        <f>IF(A68&gt;=$B$7,INDEX($H$65:$H$155,A68-$B$7+1),0)*'02_Plan'!$B$31*(1+'02_Plan'!$B$32)+IF(A68&lt;=$I$7,$H$7/($I$7+1),0)</f>
        <v>3.0222222222222223E-2</v>
      </c>
      <c r="P68" s="19">
        <f>IF(A68&gt;=60,INDEX($H$65:$H$155,A68-60+1),0)*(1-'02_Plan'!$B$31)*(1+'02_Plan'!$B$32)+IF(A68&lt;=$I$8,$H$8/($I$8+1),0)</f>
        <v>1.5333333333333334E-2</v>
      </c>
      <c r="Q68" s="19">
        <f t="shared" si="10"/>
        <v>0</v>
      </c>
      <c r="R68" s="19">
        <f t="shared" si="11"/>
        <v>1.7333333333333333E-2</v>
      </c>
      <c r="S68" s="19">
        <f>J68+IF(A68=INDEX($C$51:$E$51,D68),INDEX($C$44:$E$44,D68)*(1+'02_Plan'!$B$32),0)</f>
        <v>2.9278749999999999E-2</v>
      </c>
      <c r="T68" s="19">
        <f t="shared" si="12"/>
        <v>0</v>
      </c>
      <c r="U68" s="19">
        <f t="shared" si="13"/>
        <v>0</v>
      </c>
      <c r="V68" s="19">
        <f t="shared" si="14"/>
        <v>0</v>
      </c>
      <c r="W68" s="19">
        <f t="shared" si="15"/>
        <v>0</v>
      </c>
      <c r="X68" s="19">
        <f t="shared" si="16"/>
        <v>0</v>
      </c>
      <c r="Y68" s="19">
        <f>IF(A68=INDEX($C$50:$E$50,D68)+4,INDEX($C$46:$E$46,D68)*0.3*(1+'02_Plan'!$B$32),0)+IF(A68=INDEX($C$50:$E$50,D68)+9,INDEX($C$46:$E$46,D68)*0.7*(1+'02_Plan'!$B$32),0)</f>
        <v>0</v>
      </c>
      <c r="Z68" s="19">
        <f>IF(A68=INDEX($C$50:$E$50,D68)+14,INDEX($C$47:$E$47,D68)*(1+'02_Plan'!$B$32),0)</f>
        <v>0</v>
      </c>
      <c r="AA68" s="19">
        <f t="shared" si="17"/>
        <v>0</v>
      </c>
      <c r="AB68" s="19">
        <f t="shared" si="18"/>
        <v>8.1206349206349199E-2</v>
      </c>
      <c r="AC68" s="19">
        <f t="shared" si="19"/>
        <v>9.2167638888888875E-2</v>
      </c>
      <c r="AD68" s="19">
        <f t="shared" si="20"/>
        <v>-1.0961289682539677E-2</v>
      </c>
    </row>
    <row r="69" spans="1:30" x14ac:dyDescent="0.35">
      <c r="A69" s="14">
        <v>4</v>
      </c>
      <c r="B69" s="30">
        <f t="shared" si="0"/>
        <v>46117</v>
      </c>
      <c r="C69" s="23">
        <f t="shared" si="1"/>
        <v>1</v>
      </c>
      <c r="D69" s="23">
        <f t="shared" si="2"/>
        <v>1</v>
      </c>
      <c r="E69" s="22">
        <f t="shared" si="3"/>
        <v>179.44444444444443</v>
      </c>
      <c r="F69" s="22">
        <f t="shared" si="4"/>
        <v>212.5</v>
      </c>
      <c r="G69" s="22">
        <f t="shared" si="5"/>
        <v>118.05555555555556</v>
      </c>
      <c r="H69" s="19">
        <f t="shared" si="6"/>
        <v>8.2472962962962984E-2</v>
      </c>
      <c r="I69" s="19">
        <f>(E69*$B$20+F69*$B$21+G69*$B$22)*(1+'02_Plan'!$B$32)/10000000</f>
        <v>1.0366422916666666E-2</v>
      </c>
      <c r="J69" s="19">
        <f>INDEX($C$43:$E$43,D69)/INDEX($C$49:$E$49,D69)*(1+'02_Plan'!$B$32)</f>
        <v>2.9278749999999999E-2</v>
      </c>
      <c r="K69" s="19">
        <f t="shared" si="7"/>
        <v>1.6E-2</v>
      </c>
      <c r="L69" s="19">
        <f t="shared" si="8"/>
        <v>5.1428571428571428E-2</v>
      </c>
      <c r="M69" s="19">
        <f t="shared" si="9"/>
        <v>1.3777777777777778E-2</v>
      </c>
      <c r="N69" s="19">
        <f>IF(OR(A69=29,A69=60,A69=90),$B$34*'02_Plan'!$B$25/12,0)</f>
        <v>0</v>
      </c>
      <c r="O69" s="19">
        <f>IF(A69&gt;=$B$7,INDEX($H$65:$H$155,A69-$B$7+1),0)*'02_Plan'!$B$31*(1+'02_Plan'!$B$32)+IF(A69&lt;=$I$7,$H$7/($I$7+1),0)</f>
        <v>3.0222222222222223E-2</v>
      </c>
      <c r="P69" s="19">
        <f>IF(A69&gt;=60,INDEX($H$65:$H$155,A69-60+1),0)*(1-'02_Plan'!$B$31)*(1+'02_Plan'!$B$32)+IF(A69&lt;=$I$8,$H$8/($I$8+1),0)</f>
        <v>1.5333333333333334E-2</v>
      </c>
      <c r="Q69" s="19">
        <f t="shared" si="10"/>
        <v>0</v>
      </c>
      <c r="R69" s="19">
        <f t="shared" si="11"/>
        <v>1.7333333333333333E-2</v>
      </c>
      <c r="S69" s="19">
        <f>J69+IF(A69=INDEX($C$51:$E$51,D69),INDEX($C$44:$E$44,D69)*(1+'02_Plan'!$B$32),0)</f>
        <v>2.9278749999999999E-2</v>
      </c>
      <c r="T69" s="19">
        <f t="shared" si="12"/>
        <v>0</v>
      </c>
      <c r="U69" s="19">
        <f t="shared" si="13"/>
        <v>0</v>
      </c>
      <c r="V69" s="19">
        <f t="shared" si="14"/>
        <v>0</v>
      </c>
      <c r="W69" s="19">
        <f t="shared" si="15"/>
        <v>0</v>
      </c>
      <c r="X69" s="19">
        <f t="shared" si="16"/>
        <v>0</v>
      </c>
      <c r="Y69" s="19">
        <f>IF(A69=INDEX($C$50:$E$50,D69)+4,INDEX($C$46:$E$46,D69)*0.3*(1+'02_Plan'!$B$32),0)+IF(A69=INDEX($C$50:$E$50,D69)+9,INDEX($C$46:$E$46,D69)*0.7*(1+'02_Plan'!$B$32),0)</f>
        <v>7.4340000000000003E-2</v>
      </c>
      <c r="Z69" s="19">
        <f>IF(A69=INDEX($C$50:$E$50,D69)+14,INDEX($C$47:$E$47,D69)*(1+'02_Plan'!$B$32),0)</f>
        <v>0</v>
      </c>
      <c r="AA69" s="19">
        <f t="shared" si="17"/>
        <v>0</v>
      </c>
      <c r="AB69" s="19">
        <f t="shared" si="18"/>
        <v>8.1206349206349199E-2</v>
      </c>
      <c r="AC69" s="19">
        <f t="shared" si="19"/>
        <v>0.16650763888888886</v>
      </c>
      <c r="AD69" s="19">
        <f t="shared" si="20"/>
        <v>-8.5301289682539666E-2</v>
      </c>
    </row>
    <row r="70" spans="1:30" x14ac:dyDescent="0.35">
      <c r="A70" s="14">
        <v>5</v>
      </c>
      <c r="B70" s="30">
        <f t="shared" si="0"/>
        <v>46118</v>
      </c>
      <c r="C70" s="23">
        <f t="shared" si="1"/>
        <v>1</v>
      </c>
      <c r="D70" s="23">
        <f t="shared" si="2"/>
        <v>1</v>
      </c>
      <c r="E70" s="22">
        <f t="shared" si="3"/>
        <v>179.44444444444443</v>
      </c>
      <c r="F70" s="22">
        <f t="shared" si="4"/>
        <v>212.5</v>
      </c>
      <c r="G70" s="22">
        <f t="shared" si="5"/>
        <v>118.05555555555556</v>
      </c>
      <c r="H70" s="19">
        <f t="shared" si="6"/>
        <v>8.2472962962962984E-2</v>
      </c>
      <c r="I70" s="19">
        <f>(E70*$B$20+F70*$B$21+G70*$B$22)*(1+'02_Plan'!$B$32)/10000000</f>
        <v>1.0366422916666666E-2</v>
      </c>
      <c r="J70" s="19">
        <f>INDEX($C$43:$E$43,D70)/INDEX($C$49:$E$49,D70)*(1+'02_Plan'!$B$32)</f>
        <v>2.9278749999999999E-2</v>
      </c>
      <c r="K70" s="19">
        <f t="shared" si="7"/>
        <v>4.591940386666666E-2</v>
      </c>
      <c r="L70" s="19">
        <f t="shared" si="8"/>
        <v>5.1428571428571428E-2</v>
      </c>
      <c r="M70" s="19">
        <f t="shared" si="9"/>
        <v>1.3777777777777778E-2</v>
      </c>
      <c r="N70" s="19">
        <f>IF(OR(A70=29,A70=60,A70=90),$B$34*'02_Plan'!$B$25/12,0)</f>
        <v>0</v>
      </c>
      <c r="O70" s="19">
        <f>IF(A70&gt;=$B$7,INDEX($H$65:$H$155,A70-$B$7+1),0)*'02_Plan'!$B$31*(1+'02_Plan'!$B$32)+IF(A70&lt;=$I$7,$H$7/($I$7+1),0)</f>
        <v>3.0222222222222223E-2</v>
      </c>
      <c r="P70" s="19">
        <f>IF(A70&gt;=60,INDEX($H$65:$H$155,A70-60+1),0)*(1-'02_Plan'!$B$31)*(1+'02_Plan'!$B$32)+IF(A70&lt;=$I$8,$H$8/($I$8+1),0)</f>
        <v>1.5333333333333334E-2</v>
      </c>
      <c r="Q70" s="19">
        <f t="shared" si="10"/>
        <v>0</v>
      </c>
      <c r="R70" s="19">
        <f t="shared" si="11"/>
        <v>1.7333333333333333E-2</v>
      </c>
      <c r="S70" s="19">
        <f>J70+IF(A70=INDEX($C$51:$E$51,D70),INDEX($C$44:$E$44,D70)*(1+'02_Plan'!$B$32),0)</f>
        <v>2.9278749999999999E-2</v>
      </c>
      <c r="T70" s="19">
        <f t="shared" si="12"/>
        <v>0</v>
      </c>
      <c r="U70" s="19">
        <f t="shared" si="13"/>
        <v>0</v>
      </c>
      <c r="V70" s="19">
        <f t="shared" si="14"/>
        <v>0</v>
      </c>
      <c r="W70" s="19">
        <f t="shared" si="15"/>
        <v>0</v>
      </c>
      <c r="X70" s="19">
        <f t="shared" si="16"/>
        <v>0</v>
      </c>
      <c r="Y70" s="19">
        <f>IF(A70=INDEX($C$50:$E$50,D70)+4,INDEX($C$46:$E$46,D70)*0.3*(1+'02_Plan'!$B$32),0)+IF(A70=INDEX($C$50:$E$50,D70)+9,INDEX($C$46:$E$46,D70)*0.7*(1+'02_Plan'!$B$32),0)</f>
        <v>0</v>
      </c>
      <c r="Z70" s="19">
        <f>IF(A70=INDEX($C$50:$E$50,D70)+14,INDEX($C$47:$E$47,D70)*(1+'02_Plan'!$B$32),0)</f>
        <v>0</v>
      </c>
      <c r="AA70" s="19">
        <f t="shared" si="17"/>
        <v>0</v>
      </c>
      <c r="AB70" s="19">
        <f t="shared" si="18"/>
        <v>0.11112575307301586</v>
      </c>
      <c r="AC70" s="19">
        <f t="shared" si="19"/>
        <v>9.2167638888888875E-2</v>
      </c>
      <c r="AD70" s="19">
        <f t="shared" si="20"/>
        <v>1.895811418412699E-2</v>
      </c>
    </row>
    <row r="71" spans="1:30" x14ac:dyDescent="0.35">
      <c r="A71" s="14">
        <v>6</v>
      </c>
      <c r="B71" s="30">
        <f t="shared" si="0"/>
        <v>46119</v>
      </c>
      <c r="C71" s="23">
        <f t="shared" si="1"/>
        <v>1</v>
      </c>
      <c r="D71" s="23">
        <f t="shared" si="2"/>
        <v>1</v>
      </c>
      <c r="E71" s="22">
        <f t="shared" si="3"/>
        <v>179.44444444444443</v>
      </c>
      <c r="F71" s="22">
        <f t="shared" si="4"/>
        <v>212.5</v>
      </c>
      <c r="G71" s="22">
        <f t="shared" si="5"/>
        <v>118.05555555555556</v>
      </c>
      <c r="H71" s="19">
        <f t="shared" si="6"/>
        <v>8.2472962962962984E-2</v>
      </c>
      <c r="I71" s="19">
        <f>(E71*$B$20+F71*$B$21+G71*$B$22)*(1+'02_Plan'!$B$32)/10000000</f>
        <v>1.0366422916666666E-2</v>
      </c>
      <c r="J71" s="19">
        <f>INDEX($C$43:$E$43,D71)/INDEX($C$49:$E$49,D71)*(1+'02_Plan'!$B$32)</f>
        <v>2.9278749999999999E-2</v>
      </c>
      <c r="K71" s="19">
        <f t="shared" si="7"/>
        <v>4.591940386666666E-2</v>
      </c>
      <c r="L71" s="19">
        <f t="shared" si="8"/>
        <v>5.1428571428571428E-2</v>
      </c>
      <c r="M71" s="19">
        <f t="shared" si="9"/>
        <v>1.3777777777777778E-2</v>
      </c>
      <c r="N71" s="19">
        <f>IF(OR(A71=29,A71=60,A71=90),$B$34*'02_Plan'!$B$25/12,0)</f>
        <v>0</v>
      </c>
      <c r="O71" s="19">
        <f>IF(A71&gt;=$B$7,INDEX($H$65:$H$155,A71-$B$7+1),0)*'02_Plan'!$B$31*(1+'02_Plan'!$B$32)+IF(A71&lt;=$I$7,$H$7/($I$7+1),0)</f>
        <v>3.0222222222222223E-2</v>
      </c>
      <c r="P71" s="19">
        <f>IF(A71&gt;=60,INDEX($H$65:$H$155,A71-60+1),0)*(1-'02_Plan'!$B$31)*(1+'02_Plan'!$B$32)+IF(A71&lt;=$I$8,$H$8/($I$8+1),0)</f>
        <v>1.5333333333333334E-2</v>
      </c>
      <c r="Q71" s="19">
        <f t="shared" si="10"/>
        <v>0</v>
      </c>
      <c r="R71" s="19">
        <f t="shared" si="11"/>
        <v>1.7333333333333333E-2</v>
      </c>
      <c r="S71" s="19">
        <f>J71+IF(A71=INDEX($C$51:$E$51,D71),INDEX($C$44:$E$44,D71)*(1+'02_Plan'!$B$32),0)</f>
        <v>2.9278749999999999E-2</v>
      </c>
      <c r="T71" s="19">
        <f t="shared" si="12"/>
        <v>0</v>
      </c>
      <c r="U71" s="19">
        <f t="shared" si="13"/>
        <v>0</v>
      </c>
      <c r="V71" s="19">
        <f t="shared" si="14"/>
        <v>0</v>
      </c>
      <c r="W71" s="19">
        <f t="shared" si="15"/>
        <v>0</v>
      </c>
      <c r="X71" s="19">
        <f t="shared" si="16"/>
        <v>0</v>
      </c>
      <c r="Y71" s="19">
        <f>IF(A71=INDEX($C$50:$E$50,D71)+4,INDEX($C$46:$E$46,D71)*0.3*(1+'02_Plan'!$B$32),0)+IF(A71=INDEX($C$50:$E$50,D71)+9,INDEX($C$46:$E$46,D71)*0.7*(1+'02_Plan'!$B$32),0)</f>
        <v>0</v>
      </c>
      <c r="Z71" s="19">
        <f>IF(A71=INDEX($C$50:$E$50,D71)+14,INDEX($C$47:$E$47,D71)*(1+'02_Plan'!$B$32),0)</f>
        <v>0</v>
      </c>
      <c r="AA71" s="19">
        <f t="shared" si="17"/>
        <v>0</v>
      </c>
      <c r="AB71" s="19">
        <f t="shared" si="18"/>
        <v>0.11112575307301586</v>
      </c>
      <c r="AC71" s="19">
        <f t="shared" si="19"/>
        <v>9.2167638888888875E-2</v>
      </c>
      <c r="AD71" s="19">
        <f t="shared" si="20"/>
        <v>1.895811418412699E-2</v>
      </c>
    </row>
    <row r="72" spans="1:30" x14ac:dyDescent="0.35">
      <c r="A72" s="14">
        <v>7</v>
      </c>
      <c r="B72" s="30">
        <f t="shared" si="0"/>
        <v>46120</v>
      </c>
      <c r="C72" s="23">
        <f t="shared" si="1"/>
        <v>2</v>
      </c>
      <c r="D72" s="23">
        <f t="shared" si="2"/>
        <v>1</v>
      </c>
      <c r="E72" s="22">
        <f t="shared" si="3"/>
        <v>179.44444444444443</v>
      </c>
      <c r="F72" s="22">
        <f t="shared" si="4"/>
        <v>212.5</v>
      </c>
      <c r="G72" s="22">
        <f t="shared" si="5"/>
        <v>118.05555555555556</v>
      </c>
      <c r="H72" s="19">
        <f t="shared" si="6"/>
        <v>8.2472962962962984E-2</v>
      </c>
      <c r="I72" s="19">
        <f>(E72*$B$20+F72*$B$21+G72*$B$22)*(1+'02_Plan'!$B$32)/10000000</f>
        <v>1.0366422916666666E-2</v>
      </c>
      <c r="J72" s="19">
        <f>INDEX($C$43:$E$43,D72)/INDEX($C$49:$E$49,D72)*(1+'02_Plan'!$B$32)</f>
        <v>2.9278749999999999E-2</v>
      </c>
      <c r="K72" s="19">
        <f t="shared" si="7"/>
        <v>4.591940386666666E-2</v>
      </c>
      <c r="L72" s="19">
        <f t="shared" si="8"/>
        <v>5.1428571428571428E-2</v>
      </c>
      <c r="M72" s="19">
        <f t="shared" si="9"/>
        <v>1.3777777777777778E-2</v>
      </c>
      <c r="N72" s="19">
        <f>IF(OR(A72=29,A72=60,A72=90),$B$34*'02_Plan'!$B$25/12,0)</f>
        <v>0</v>
      </c>
      <c r="O72" s="19">
        <f>IF(A72&gt;=$B$7,INDEX($H$65:$H$155,A72-$B$7+1),0)*'02_Plan'!$B$31*(1+'02_Plan'!$B$32)+IF(A72&lt;=$I$7,$H$7/($I$7+1),0)</f>
        <v>3.0222222222222223E-2</v>
      </c>
      <c r="P72" s="19">
        <f>IF(A72&gt;=60,INDEX($H$65:$H$155,A72-60+1),0)*(1-'02_Plan'!$B$31)*(1+'02_Plan'!$B$32)+IF(A72&lt;=$I$8,$H$8/($I$8+1),0)</f>
        <v>1.5333333333333334E-2</v>
      </c>
      <c r="Q72" s="19">
        <f t="shared" si="10"/>
        <v>0.20162285919585449</v>
      </c>
      <c r="R72" s="19">
        <f t="shared" si="11"/>
        <v>1.7333333333333333E-2</v>
      </c>
      <c r="S72" s="19">
        <f>J72+IF(A72=INDEX($C$51:$E$51,D72),INDEX($C$44:$E$44,D72)*(1+'02_Plan'!$B$32),0)</f>
        <v>2.9278749999999999E-2</v>
      </c>
      <c r="T72" s="19">
        <f t="shared" si="12"/>
        <v>0</v>
      </c>
      <c r="U72" s="19">
        <f t="shared" si="13"/>
        <v>0</v>
      </c>
      <c r="V72" s="19">
        <f t="shared" si="14"/>
        <v>0</v>
      </c>
      <c r="W72" s="19">
        <f t="shared" si="15"/>
        <v>0</v>
      </c>
      <c r="X72" s="19">
        <f t="shared" si="16"/>
        <v>0</v>
      </c>
      <c r="Y72" s="19">
        <f>IF(A72=INDEX($C$50:$E$50,D72)+4,INDEX($C$46:$E$46,D72)*0.3*(1+'02_Plan'!$B$32),0)+IF(A72=INDEX($C$50:$E$50,D72)+9,INDEX($C$46:$E$46,D72)*0.7*(1+'02_Plan'!$B$32),0)</f>
        <v>0</v>
      </c>
      <c r="Z72" s="19">
        <f>IF(A72=INDEX($C$50:$E$50,D72)+14,INDEX($C$47:$E$47,D72)*(1+'02_Plan'!$B$32),0)</f>
        <v>0</v>
      </c>
      <c r="AA72" s="19">
        <f t="shared" si="17"/>
        <v>0</v>
      </c>
      <c r="AB72" s="19">
        <f t="shared" si="18"/>
        <v>0.11112575307301586</v>
      </c>
      <c r="AC72" s="19">
        <f t="shared" si="19"/>
        <v>0.29379049808474339</v>
      </c>
      <c r="AD72" s="19">
        <f t="shared" si="20"/>
        <v>-0.18266474501172753</v>
      </c>
    </row>
    <row r="73" spans="1:30" x14ac:dyDescent="0.35">
      <c r="A73" s="14">
        <v>8</v>
      </c>
      <c r="B73" s="30">
        <f t="shared" si="0"/>
        <v>46121</v>
      </c>
      <c r="C73" s="23">
        <f t="shared" si="1"/>
        <v>2</v>
      </c>
      <c r="D73" s="23">
        <f t="shared" si="2"/>
        <v>1</v>
      </c>
      <c r="E73" s="22">
        <f t="shared" si="3"/>
        <v>179.44444444444443</v>
      </c>
      <c r="F73" s="22">
        <f t="shared" si="4"/>
        <v>212.5</v>
      </c>
      <c r="G73" s="22">
        <f t="shared" si="5"/>
        <v>118.05555555555556</v>
      </c>
      <c r="H73" s="19">
        <f t="shared" si="6"/>
        <v>8.2472962962962984E-2</v>
      </c>
      <c r="I73" s="19">
        <f>(E73*$B$20+F73*$B$21+G73*$B$22)*(1+'02_Plan'!$B$32)/10000000</f>
        <v>1.0366422916666666E-2</v>
      </c>
      <c r="J73" s="19">
        <f>INDEX($C$43:$E$43,D73)/INDEX($C$49:$E$49,D73)*(1+'02_Plan'!$B$32)</f>
        <v>2.9278749999999999E-2</v>
      </c>
      <c r="K73" s="19">
        <f t="shared" si="7"/>
        <v>4.591940386666666E-2</v>
      </c>
      <c r="L73" s="19">
        <f t="shared" si="8"/>
        <v>5.1428571428571428E-2</v>
      </c>
      <c r="M73" s="19">
        <f t="shared" si="9"/>
        <v>1.3777777777777778E-2</v>
      </c>
      <c r="N73" s="19">
        <f>IF(OR(A73=29,A73=60,A73=90),$B$34*'02_Plan'!$B$25/12,0)</f>
        <v>0</v>
      </c>
      <c r="O73" s="19">
        <f>IF(A73&gt;=$B$7,INDEX($H$65:$H$155,A73-$B$7+1),0)*'02_Plan'!$B$31*(1+'02_Plan'!$B$32)+IF(A73&lt;=$I$7,$H$7/($I$7+1),0)</f>
        <v>3.0222222222222223E-2</v>
      </c>
      <c r="P73" s="19">
        <f>IF(A73&gt;=60,INDEX($H$65:$H$155,A73-60+1),0)*(1-'02_Plan'!$B$31)*(1+'02_Plan'!$B$32)+IF(A73&lt;=$I$8,$H$8/($I$8+1),0)</f>
        <v>1.5333333333333334E-2</v>
      </c>
      <c r="Q73" s="19">
        <f t="shared" si="10"/>
        <v>0</v>
      </c>
      <c r="R73" s="19">
        <f t="shared" si="11"/>
        <v>1.7333333333333333E-2</v>
      </c>
      <c r="S73" s="19">
        <f>J73+IF(A73=INDEX($C$51:$E$51,D73),INDEX($C$44:$E$44,D73)*(1+'02_Plan'!$B$32),0)</f>
        <v>2.9278749999999999E-2</v>
      </c>
      <c r="T73" s="19">
        <f t="shared" si="12"/>
        <v>0</v>
      </c>
      <c r="U73" s="19">
        <f t="shared" si="13"/>
        <v>0</v>
      </c>
      <c r="V73" s="19">
        <f t="shared" si="14"/>
        <v>0</v>
      </c>
      <c r="W73" s="19">
        <f t="shared" si="15"/>
        <v>0</v>
      </c>
      <c r="X73" s="19">
        <f t="shared" si="16"/>
        <v>0</v>
      </c>
      <c r="Y73" s="19">
        <f>IF(A73=INDEX($C$50:$E$50,D73)+4,INDEX($C$46:$E$46,D73)*0.3*(1+'02_Plan'!$B$32),0)+IF(A73=INDEX($C$50:$E$50,D73)+9,INDEX($C$46:$E$46,D73)*0.7*(1+'02_Plan'!$B$32),0)</f>
        <v>0</v>
      </c>
      <c r="Z73" s="19">
        <f>IF(A73=INDEX($C$50:$E$50,D73)+14,INDEX($C$47:$E$47,D73)*(1+'02_Plan'!$B$32),0)</f>
        <v>0</v>
      </c>
      <c r="AA73" s="19">
        <f t="shared" si="17"/>
        <v>0</v>
      </c>
      <c r="AB73" s="19">
        <f t="shared" si="18"/>
        <v>0.11112575307301586</v>
      </c>
      <c r="AC73" s="19">
        <f t="shared" si="19"/>
        <v>9.2167638888888875E-2</v>
      </c>
      <c r="AD73" s="19">
        <f t="shared" si="20"/>
        <v>1.895811418412699E-2</v>
      </c>
    </row>
    <row r="74" spans="1:30" x14ac:dyDescent="0.35">
      <c r="A74" s="14">
        <v>9</v>
      </c>
      <c r="B74" s="30">
        <f t="shared" si="0"/>
        <v>46122</v>
      </c>
      <c r="C74" s="23">
        <f t="shared" si="1"/>
        <v>2</v>
      </c>
      <c r="D74" s="23">
        <f t="shared" si="2"/>
        <v>1</v>
      </c>
      <c r="E74" s="22">
        <f t="shared" si="3"/>
        <v>179.44444444444443</v>
      </c>
      <c r="F74" s="22">
        <f t="shared" si="4"/>
        <v>212.5</v>
      </c>
      <c r="G74" s="22">
        <f t="shared" si="5"/>
        <v>118.05555555555556</v>
      </c>
      <c r="H74" s="19">
        <f t="shared" si="6"/>
        <v>8.2472962962962984E-2</v>
      </c>
      <c r="I74" s="19">
        <f>(E74*$B$20+F74*$B$21+G74*$B$22)*(1+'02_Plan'!$B$32)/10000000</f>
        <v>1.0366422916666666E-2</v>
      </c>
      <c r="J74" s="19">
        <f>INDEX($C$43:$E$43,D74)/INDEX($C$49:$E$49,D74)*(1+'02_Plan'!$B$32)</f>
        <v>2.9278749999999999E-2</v>
      </c>
      <c r="K74" s="19">
        <f t="shared" si="7"/>
        <v>4.591940386666666E-2</v>
      </c>
      <c r="L74" s="19">
        <f t="shared" si="8"/>
        <v>5.1428571428571428E-2</v>
      </c>
      <c r="M74" s="19">
        <f t="shared" si="9"/>
        <v>1.3777777777777778E-2</v>
      </c>
      <c r="N74" s="19">
        <f>IF(OR(A74=29,A74=60,A74=90),$B$34*'02_Plan'!$B$25/12,0)</f>
        <v>0</v>
      </c>
      <c r="O74" s="19">
        <f>IF(A74&gt;=$B$7,INDEX($H$65:$H$155,A74-$B$7+1),0)*'02_Plan'!$B$31*(1+'02_Plan'!$B$32)+IF(A74&lt;=$I$7,$H$7/($I$7+1),0)</f>
        <v>3.0222222222222223E-2</v>
      </c>
      <c r="P74" s="19">
        <f>IF(A74&gt;=60,INDEX($H$65:$H$155,A74-60+1),0)*(1-'02_Plan'!$B$31)*(1+'02_Plan'!$B$32)+IF(A74&lt;=$I$8,$H$8/($I$8+1),0)</f>
        <v>1.5333333333333334E-2</v>
      </c>
      <c r="Q74" s="19">
        <f t="shared" si="10"/>
        <v>0</v>
      </c>
      <c r="R74" s="19">
        <f t="shared" si="11"/>
        <v>1.7333333333333333E-2</v>
      </c>
      <c r="S74" s="19">
        <f>J74+IF(A74=INDEX($C$51:$E$51,D74),INDEX($C$44:$E$44,D74)*(1+'02_Plan'!$B$32),0)</f>
        <v>2.9278749999999999E-2</v>
      </c>
      <c r="T74" s="19">
        <f t="shared" si="12"/>
        <v>0</v>
      </c>
      <c r="U74" s="19">
        <f t="shared" si="13"/>
        <v>0</v>
      </c>
      <c r="V74" s="19">
        <f t="shared" si="14"/>
        <v>0</v>
      </c>
      <c r="W74" s="19">
        <f t="shared" si="15"/>
        <v>0</v>
      </c>
      <c r="X74" s="19">
        <f t="shared" si="16"/>
        <v>0</v>
      </c>
      <c r="Y74" s="19">
        <f>IF(A74=INDEX($C$50:$E$50,D74)+4,INDEX($C$46:$E$46,D74)*0.3*(1+'02_Plan'!$B$32),0)+IF(A74=INDEX($C$50:$E$50,D74)+9,INDEX($C$46:$E$46,D74)*0.7*(1+'02_Plan'!$B$32),0)</f>
        <v>0.17345999999999998</v>
      </c>
      <c r="Z74" s="19">
        <f>IF(A74=INDEX($C$50:$E$50,D74)+14,INDEX($C$47:$E$47,D74)*(1+'02_Plan'!$B$32),0)</f>
        <v>0</v>
      </c>
      <c r="AA74" s="19">
        <f t="shared" si="17"/>
        <v>0</v>
      </c>
      <c r="AB74" s="19">
        <f t="shared" si="18"/>
        <v>0.11112575307301586</v>
      </c>
      <c r="AC74" s="19">
        <f t="shared" si="19"/>
        <v>0.26562763888888885</v>
      </c>
      <c r="AD74" s="19">
        <f t="shared" si="20"/>
        <v>-0.15450188581587299</v>
      </c>
    </row>
    <row r="75" spans="1:30" x14ac:dyDescent="0.35">
      <c r="A75" s="14">
        <v>10</v>
      </c>
      <c r="B75" s="30">
        <f t="shared" si="0"/>
        <v>46123</v>
      </c>
      <c r="C75" s="23">
        <f t="shared" si="1"/>
        <v>2</v>
      </c>
      <c r="D75" s="23">
        <f t="shared" si="2"/>
        <v>1</v>
      </c>
      <c r="E75" s="22">
        <f t="shared" si="3"/>
        <v>179.44444444444443</v>
      </c>
      <c r="F75" s="22">
        <f t="shared" si="4"/>
        <v>212.5</v>
      </c>
      <c r="G75" s="22">
        <f t="shared" si="5"/>
        <v>118.05555555555556</v>
      </c>
      <c r="H75" s="19">
        <f t="shared" si="6"/>
        <v>8.2472962962962984E-2</v>
      </c>
      <c r="I75" s="19">
        <f>(E75*$B$20+F75*$B$21+G75*$B$22)*(1+'02_Plan'!$B$32)/10000000</f>
        <v>1.0366422916666666E-2</v>
      </c>
      <c r="J75" s="19">
        <f>INDEX($C$43:$E$43,D75)/INDEX($C$49:$E$49,D75)*(1+'02_Plan'!$B$32)</f>
        <v>2.9278749999999999E-2</v>
      </c>
      <c r="K75" s="19">
        <f t="shared" si="7"/>
        <v>4.9865673111111106E-2</v>
      </c>
      <c r="L75" s="19">
        <f t="shared" si="8"/>
        <v>5.1428571428571428E-2</v>
      </c>
      <c r="M75" s="19">
        <f t="shared" si="9"/>
        <v>1.3777777777777778E-2</v>
      </c>
      <c r="N75" s="19">
        <f>IF(OR(A75=29,A75=60,A75=90),$B$34*'02_Plan'!$B$25/12,0)</f>
        <v>0</v>
      </c>
      <c r="O75" s="19">
        <f>IF(A75&gt;=$B$7,INDEX($H$65:$H$155,A75-$B$7+1),0)*'02_Plan'!$B$31*(1+'02_Plan'!$B$32)+IF(A75&lt;=$I$7,$H$7/($I$7+1),0)</f>
        <v>3.0222222222222223E-2</v>
      </c>
      <c r="P75" s="19">
        <f>IF(A75&gt;=60,INDEX($H$65:$H$155,A75-60+1),0)*(1-'02_Plan'!$B$31)*(1+'02_Plan'!$B$32)+IF(A75&lt;=$I$8,$H$8/($I$8+1),0)</f>
        <v>1.5333333333333334E-2</v>
      </c>
      <c r="Q75" s="19">
        <f t="shared" si="10"/>
        <v>0</v>
      </c>
      <c r="R75" s="19">
        <f t="shared" si="11"/>
        <v>1.7333333333333333E-2</v>
      </c>
      <c r="S75" s="19">
        <f>J75+IF(A75=INDEX($C$51:$E$51,D75),INDEX($C$44:$E$44,D75)*(1+'02_Plan'!$B$32),0)</f>
        <v>2.9278749999999999E-2</v>
      </c>
      <c r="T75" s="19">
        <f t="shared" si="12"/>
        <v>0</v>
      </c>
      <c r="U75" s="19">
        <f t="shared" si="13"/>
        <v>0</v>
      </c>
      <c r="V75" s="19">
        <f t="shared" si="14"/>
        <v>0</v>
      </c>
      <c r="W75" s="19">
        <f t="shared" si="15"/>
        <v>0</v>
      </c>
      <c r="X75" s="19">
        <f t="shared" si="16"/>
        <v>0</v>
      </c>
      <c r="Y75" s="19">
        <f>IF(A75=INDEX($C$50:$E$50,D75)+4,INDEX($C$46:$E$46,D75)*0.3*(1+'02_Plan'!$B$32),0)+IF(A75=INDEX($C$50:$E$50,D75)+9,INDEX($C$46:$E$46,D75)*0.7*(1+'02_Plan'!$B$32),0)</f>
        <v>0</v>
      </c>
      <c r="Z75" s="19">
        <f>IF(A75=INDEX($C$50:$E$50,D75)+14,INDEX($C$47:$E$47,D75)*(1+'02_Plan'!$B$32),0)</f>
        <v>0</v>
      </c>
      <c r="AA75" s="19">
        <f t="shared" si="17"/>
        <v>0</v>
      </c>
      <c r="AB75" s="19">
        <f t="shared" si="18"/>
        <v>0.1150720223174603</v>
      </c>
      <c r="AC75" s="19">
        <f t="shared" si="19"/>
        <v>9.2167638888888875E-2</v>
      </c>
      <c r="AD75" s="19">
        <f t="shared" si="20"/>
        <v>2.2904383428571429E-2</v>
      </c>
    </row>
    <row r="76" spans="1:30" x14ac:dyDescent="0.35">
      <c r="A76" s="14">
        <v>11</v>
      </c>
      <c r="B76" s="30">
        <f t="shared" si="0"/>
        <v>46124</v>
      </c>
      <c r="C76" s="23">
        <f t="shared" si="1"/>
        <v>2</v>
      </c>
      <c r="D76" s="23">
        <f t="shared" si="2"/>
        <v>1</v>
      </c>
      <c r="E76" s="22">
        <f t="shared" si="3"/>
        <v>179.44444444444443</v>
      </c>
      <c r="F76" s="22">
        <f t="shared" si="4"/>
        <v>212.5</v>
      </c>
      <c r="G76" s="22">
        <f t="shared" si="5"/>
        <v>118.05555555555556</v>
      </c>
      <c r="H76" s="19">
        <f t="shared" si="6"/>
        <v>8.2472962962962984E-2</v>
      </c>
      <c r="I76" s="19">
        <f>(E76*$B$20+F76*$B$21+G76*$B$22)*(1+'02_Plan'!$B$32)/10000000</f>
        <v>1.0366422916666666E-2</v>
      </c>
      <c r="J76" s="19">
        <f>INDEX($C$43:$E$43,D76)/INDEX($C$49:$E$49,D76)*(1+'02_Plan'!$B$32)</f>
        <v>2.9278749999999999E-2</v>
      </c>
      <c r="K76" s="19">
        <f t="shared" si="7"/>
        <v>4.9865673111111106E-2</v>
      </c>
      <c r="L76" s="19">
        <f t="shared" si="8"/>
        <v>9.3358802261904766E-2</v>
      </c>
      <c r="M76" s="19">
        <f t="shared" si="9"/>
        <v>1.3777777777777778E-2</v>
      </c>
      <c r="N76" s="19">
        <f>IF(OR(A76=29,A76=60,A76=90),$B$34*'02_Plan'!$B$25/12,0)</f>
        <v>0</v>
      </c>
      <c r="O76" s="19">
        <f>IF(A76&gt;=$B$7,INDEX($H$65:$H$155,A76-$B$7+1),0)*'02_Plan'!$B$31*(1+'02_Plan'!$B$32)+IF(A76&lt;=$I$7,$H$7/($I$7+1),0)</f>
        <v>3.0222222222222223E-2</v>
      </c>
      <c r="P76" s="19">
        <f>IF(A76&gt;=60,INDEX($H$65:$H$155,A76-60+1),0)*(1-'02_Plan'!$B$31)*(1+'02_Plan'!$B$32)+IF(A76&lt;=$I$8,$H$8/($I$8+1),0)</f>
        <v>1.5333333333333334E-2</v>
      </c>
      <c r="Q76" s="19">
        <f t="shared" si="10"/>
        <v>0</v>
      </c>
      <c r="R76" s="19">
        <f t="shared" si="11"/>
        <v>1.7333333333333333E-2</v>
      </c>
      <c r="S76" s="19">
        <f>J76+IF(A76=INDEX($C$51:$E$51,D76),INDEX($C$44:$E$44,D76)*(1+'02_Plan'!$B$32),0)</f>
        <v>2.9278749999999999E-2</v>
      </c>
      <c r="T76" s="19">
        <f t="shared" si="12"/>
        <v>0</v>
      </c>
      <c r="U76" s="19">
        <f t="shared" si="13"/>
        <v>0</v>
      </c>
      <c r="V76" s="19">
        <f t="shared" si="14"/>
        <v>0</v>
      </c>
      <c r="W76" s="19">
        <f t="shared" si="15"/>
        <v>0</v>
      </c>
      <c r="X76" s="19">
        <f t="shared" si="16"/>
        <v>0</v>
      </c>
      <c r="Y76" s="19">
        <f>IF(A76=INDEX($C$50:$E$50,D76)+4,INDEX($C$46:$E$46,D76)*0.3*(1+'02_Plan'!$B$32),0)+IF(A76=INDEX($C$50:$E$50,D76)+9,INDEX($C$46:$E$46,D76)*0.7*(1+'02_Plan'!$B$32),0)</f>
        <v>0</v>
      </c>
      <c r="Z76" s="19">
        <f>IF(A76=INDEX($C$50:$E$50,D76)+14,INDEX($C$47:$E$47,D76)*(1+'02_Plan'!$B$32),0)</f>
        <v>0</v>
      </c>
      <c r="AA76" s="19">
        <f t="shared" si="17"/>
        <v>0</v>
      </c>
      <c r="AB76" s="19">
        <f t="shared" si="18"/>
        <v>0.15700225315079364</v>
      </c>
      <c r="AC76" s="19">
        <f t="shared" si="19"/>
        <v>9.2167638888888875E-2</v>
      </c>
      <c r="AD76" s="19">
        <f t="shared" si="20"/>
        <v>6.4834614261904761E-2</v>
      </c>
    </row>
    <row r="77" spans="1:30" x14ac:dyDescent="0.35">
      <c r="A77" s="14">
        <v>12</v>
      </c>
      <c r="B77" s="30">
        <f t="shared" si="0"/>
        <v>46125</v>
      </c>
      <c r="C77" s="23">
        <f t="shared" si="1"/>
        <v>2</v>
      </c>
      <c r="D77" s="23">
        <f t="shared" si="2"/>
        <v>1</v>
      </c>
      <c r="E77" s="22">
        <f t="shared" si="3"/>
        <v>179.44444444444443</v>
      </c>
      <c r="F77" s="22">
        <f t="shared" si="4"/>
        <v>212.5</v>
      </c>
      <c r="G77" s="22">
        <f t="shared" si="5"/>
        <v>118.05555555555556</v>
      </c>
      <c r="H77" s="19">
        <f t="shared" si="6"/>
        <v>8.2472962962962984E-2</v>
      </c>
      <c r="I77" s="19">
        <f>(E77*$B$20+F77*$B$21+G77*$B$22)*(1+'02_Plan'!$B$32)/10000000</f>
        <v>1.0366422916666666E-2</v>
      </c>
      <c r="J77" s="19">
        <f>INDEX($C$43:$E$43,D77)/INDEX($C$49:$E$49,D77)*(1+'02_Plan'!$B$32)</f>
        <v>2.9278749999999999E-2</v>
      </c>
      <c r="K77" s="19">
        <f t="shared" si="7"/>
        <v>4.9865673111111106E-2</v>
      </c>
      <c r="L77" s="19">
        <f t="shared" si="8"/>
        <v>9.3358802261904766E-2</v>
      </c>
      <c r="M77" s="19">
        <f t="shared" si="9"/>
        <v>1.3777777777777778E-2</v>
      </c>
      <c r="N77" s="19">
        <f>IF(OR(A77=29,A77=60,A77=90),$B$34*'02_Plan'!$B$25/12,0)</f>
        <v>0</v>
      </c>
      <c r="O77" s="19">
        <f>IF(A77&gt;=$B$7,INDEX($H$65:$H$155,A77-$B$7+1),0)*'02_Plan'!$B$31*(1+'02_Plan'!$B$32)+IF(A77&lt;=$I$7,$H$7/($I$7+1),0)</f>
        <v>3.0222222222222223E-2</v>
      </c>
      <c r="P77" s="19">
        <f>IF(A77&gt;=60,INDEX($H$65:$H$155,A77-60+1),0)*(1-'02_Plan'!$B$31)*(1+'02_Plan'!$B$32)+IF(A77&lt;=$I$8,$H$8/($I$8+1),0)</f>
        <v>1.5333333333333334E-2</v>
      </c>
      <c r="Q77" s="19">
        <f t="shared" si="10"/>
        <v>0</v>
      </c>
      <c r="R77" s="19">
        <f t="shared" si="11"/>
        <v>1.7333333333333333E-2</v>
      </c>
      <c r="S77" s="19">
        <f>J77+IF(A77=INDEX($C$51:$E$51,D77),INDEX($C$44:$E$44,D77)*(1+'02_Plan'!$B$32),0)</f>
        <v>2.9278749999999999E-2</v>
      </c>
      <c r="T77" s="19">
        <f t="shared" si="12"/>
        <v>0</v>
      </c>
      <c r="U77" s="19">
        <f t="shared" si="13"/>
        <v>0</v>
      </c>
      <c r="V77" s="19">
        <f t="shared" si="14"/>
        <v>0</v>
      </c>
      <c r="W77" s="19">
        <f t="shared" si="15"/>
        <v>0</v>
      </c>
      <c r="X77" s="19">
        <f t="shared" si="16"/>
        <v>0</v>
      </c>
      <c r="Y77" s="19">
        <f>IF(A77=INDEX($C$50:$E$50,D77)+4,INDEX($C$46:$E$46,D77)*0.3*(1+'02_Plan'!$B$32),0)+IF(A77=INDEX($C$50:$E$50,D77)+9,INDEX($C$46:$E$46,D77)*0.7*(1+'02_Plan'!$B$32),0)</f>
        <v>0</v>
      </c>
      <c r="Z77" s="19">
        <f>IF(A77=INDEX($C$50:$E$50,D77)+14,INDEX($C$47:$E$47,D77)*(1+'02_Plan'!$B$32),0)</f>
        <v>0</v>
      </c>
      <c r="AA77" s="19">
        <f t="shared" si="17"/>
        <v>0</v>
      </c>
      <c r="AB77" s="19">
        <f t="shared" si="18"/>
        <v>0.15700225315079364</v>
      </c>
      <c r="AC77" s="19">
        <f t="shared" si="19"/>
        <v>9.2167638888888875E-2</v>
      </c>
      <c r="AD77" s="19">
        <f t="shared" si="20"/>
        <v>6.4834614261904761E-2</v>
      </c>
    </row>
    <row r="78" spans="1:30" x14ac:dyDescent="0.35">
      <c r="A78" s="14">
        <v>13</v>
      </c>
      <c r="B78" s="30">
        <f t="shared" si="0"/>
        <v>46126</v>
      </c>
      <c r="C78" s="23">
        <f t="shared" si="1"/>
        <v>2</v>
      </c>
      <c r="D78" s="23">
        <f t="shared" si="2"/>
        <v>1</v>
      </c>
      <c r="E78" s="22">
        <f t="shared" si="3"/>
        <v>179.44444444444443</v>
      </c>
      <c r="F78" s="22">
        <f t="shared" si="4"/>
        <v>212.5</v>
      </c>
      <c r="G78" s="22">
        <f t="shared" si="5"/>
        <v>118.05555555555556</v>
      </c>
      <c r="H78" s="19">
        <f t="shared" si="6"/>
        <v>8.2472962962962984E-2</v>
      </c>
      <c r="I78" s="19">
        <f>(E78*$B$20+F78*$B$21+G78*$B$22)*(1+'02_Plan'!$B$32)/10000000</f>
        <v>1.0366422916666666E-2</v>
      </c>
      <c r="J78" s="19">
        <f>INDEX($C$43:$E$43,D78)/INDEX($C$49:$E$49,D78)*(1+'02_Plan'!$B$32)</f>
        <v>2.9278749999999999E-2</v>
      </c>
      <c r="K78" s="19">
        <f t="shared" si="7"/>
        <v>4.9865673111111106E-2</v>
      </c>
      <c r="L78" s="19">
        <f t="shared" si="8"/>
        <v>9.3358802261904766E-2</v>
      </c>
      <c r="M78" s="19">
        <f t="shared" si="9"/>
        <v>1.3777777777777778E-2</v>
      </c>
      <c r="N78" s="19">
        <f>IF(OR(A78=29,A78=60,A78=90),$B$34*'02_Plan'!$B$25/12,0)</f>
        <v>0</v>
      </c>
      <c r="O78" s="19">
        <f>IF(A78&gt;=$B$7,INDEX($H$65:$H$155,A78-$B$7+1),0)*'02_Plan'!$B$31*(1+'02_Plan'!$B$32)+IF(A78&lt;=$I$7,$H$7/($I$7+1),0)</f>
        <v>3.0222222222222223E-2</v>
      </c>
      <c r="P78" s="19">
        <f>IF(A78&gt;=60,INDEX($H$65:$H$155,A78-60+1),0)*(1-'02_Plan'!$B$31)*(1+'02_Plan'!$B$32)+IF(A78&lt;=$I$8,$H$8/($I$8+1),0)</f>
        <v>1.5333333333333334E-2</v>
      </c>
      <c r="Q78" s="19">
        <f t="shared" si="10"/>
        <v>0</v>
      </c>
      <c r="R78" s="19">
        <f t="shared" si="11"/>
        <v>1.7333333333333333E-2</v>
      </c>
      <c r="S78" s="19">
        <f>J78+IF(A78=INDEX($C$51:$E$51,D78),INDEX($C$44:$E$44,D78)*(1+'02_Plan'!$B$32),0)</f>
        <v>2.9278749999999999E-2</v>
      </c>
      <c r="T78" s="19">
        <f t="shared" si="12"/>
        <v>0</v>
      </c>
      <c r="U78" s="19">
        <f t="shared" si="13"/>
        <v>0</v>
      </c>
      <c r="V78" s="19">
        <f t="shared" si="14"/>
        <v>0</v>
      </c>
      <c r="W78" s="19">
        <f t="shared" si="15"/>
        <v>0</v>
      </c>
      <c r="X78" s="19">
        <f t="shared" si="16"/>
        <v>0</v>
      </c>
      <c r="Y78" s="19">
        <f>IF(A78=INDEX($C$50:$E$50,D78)+4,INDEX($C$46:$E$46,D78)*0.3*(1+'02_Plan'!$B$32),0)+IF(A78=INDEX($C$50:$E$50,D78)+9,INDEX($C$46:$E$46,D78)*0.7*(1+'02_Plan'!$B$32),0)</f>
        <v>0</v>
      </c>
      <c r="Z78" s="19">
        <f>IF(A78=INDEX($C$50:$E$50,D78)+14,INDEX($C$47:$E$47,D78)*(1+'02_Plan'!$B$32),0)</f>
        <v>0</v>
      </c>
      <c r="AA78" s="19">
        <f t="shared" si="17"/>
        <v>0</v>
      </c>
      <c r="AB78" s="19">
        <f t="shared" si="18"/>
        <v>0.15700225315079364</v>
      </c>
      <c r="AC78" s="19">
        <f t="shared" si="19"/>
        <v>9.2167638888888875E-2</v>
      </c>
      <c r="AD78" s="19">
        <f t="shared" si="20"/>
        <v>6.4834614261904761E-2</v>
      </c>
    </row>
    <row r="79" spans="1:30" x14ac:dyDescent="0.35">
      <c r="A79" s="14">
        <v>14</v>
      </c>
      <c r="B79" s="30">
        <f t="shared" si="0"/>
        <v>46127</v>
      </c>
      <c r="C79" s="23">
        <f t="shared" si="1"/>
        <v>3</v>
      </c>
      <c r="D79" s="23">
        <f t="shared" si="2"/>
        <v>1</v>
      </c>
      <c r="E79" s="22">
        <f t="shared" si="3"/>
        <v>179.44444444444443</v>
      </c>
      <c r="F79" s="22">
        <f t="shared" si="4"/>
        <v>212.5</v>
      </c>
      <c r="G79" s="22">
        <f t="shared" si="5"/>
        <v>118.05555555555556</v>
      </c>
      <c r="H79" s="19">
        <f t="shared" si="6"/>
        <v>8.2472962962962984E-2</v>
      </c>
      <c r="I79" s="19">
        <f>(E79*$B$20+F79*$B$21+G79*$B$22)*(1+'02_Plan'!$B$32)/10000000</f>
        <v>1.0366422916666666E-2</v>
      </c>
      <c r="J79" s="19">
        <f>INDEX($C$43:$E$43,D79)/INDEX($C$49:$E$49,D79)*(1+'02_Plan'!$B$32)</f>
        <v>2.9278749999999999E-2</v>
      </c>
      <c r="K79" s="19">
        <f t="shared" si="7"/>
        <v>4.9865673111111106E-2</v>
      </c>
      <c r="L79" s="19">
        <f t="shared" si="8"/>
        <v>4.1930230833333332E-2</v>
      </c>
      <c r="M79" s="19">
        <f t="shared" si="9"/>
        <v>1.3777777777777778E-2</v>
      </c>
      <c r="N79" s="19">
        <f>IF(OR(A79=29,A79=60,A79=90),$B$34*'02_Plan'!$B$25/12,0)</f>
        <v>0</v>
      </c>
      <c r="O79" s="19">
        <f>IF(A79&gt;=$B$7,INDEX($H$65:$H$155,A79-$B$7+1),0)*'02_Plan'!$B$31*(1+'02_Plan'!$B$32)+IF(A79&lt;=$I$7,$H$7/($I$7+1),0)</f>
        <v>3.0222222222222223E-2</v>
      </c>
      <c r="P79" s="19">
        <f>IF(A79&gt;=60,INDEX($H$65:$H$155,A79-60+1),0)*(1-'02_Plan'!$B$31)*(1+'02_Plan'!$B$32)+IF(A79&lt;=$I$8,$H$8/($I$8+1),0)</f>
        <v>1.5333333333333334E-2</v>
      </c>
      <c r="Q79" s="19">
        <f t="shared" si="10"/>
        <v>0</v>
      </c>
      <c r="R79" s="19">
        <f t="shared" si="11"/>
        <v>1.7333333333333333E-2</v>
      </c>
      <c r="S79" s="19">
        <f>J79+IF(A79=INDEX($C$51:$E$51,D79),INDEX($C$44:$E$44,D79)*(1+'02_Plan'!$B$32),0)</f>
        <v>2.9278749999999999E-2</v>
      </c>
      <c r="T79" s="19">
        <f t="shared" si="12"/>
        <v>0</v>
      </c>
      <c r="U79" s="19">
        <f t="shared" si="13"/>
        <v>0</v>
      </c>
      <c r="V79" s="19">
        <f t="shared" si="14"/>
        <v>0</v>
      </c>
      <c r="W79" s="19">
        <f t="shared" si="15"/>
        <v>2.0999999999999998E-2</v>
      </c>
      <c r="X79" s="19">
        <f t="shared" si="16"/>
        <v>0</v>
      </c>
      <c r="Y79" s="19">
        <f>IF(A79=INDEX($C$50:$E$50,D79)+4,INDEX($C$46:$E$46,D79)*0.3*(1+'02_Plan'!$B$32),0)+IF(A79=INDEX($C$50:$E$50,D79)+9,INDEX($C$46:$E$46,D79)*0.7*(1+'02_Plan'!$B$32),0)</f>
        <v>0</v>
      </c>
      <c r="Z79" s="19">
        <f>IF(A79=INDEX($C$50:$E$50,D79)+14,INDEX($C$47:$E$47,D79)*(1+'02_Plan'!$B$32),0)</f>
        <v>0</v>
      </c>
      <c r="AA79" s="19">
        <f t="shared" si="17"/>
        <v>0</v>
      </c>
      <c r="AB79" s="19">
        <f t="shared" si="18"/>
        <v>0.10557368172222222</v>
      </c>
      <c r="AC79" s="19">
        <f t="shared" si="19"/>
        <v>0.11316763888888887</v>
      </c>
      <c r="AD79" s="19">
        <f t="shared" si="20"/>
        <v>-7.5939571666666511E-3</v>
      </c>
    </row>
    <row r="80" spans="1:30" x14ac:dyDescent="0.35">
      <c r="A80" s="14">
        <v>15</v>
      </c>
      <c r="B80" s="30">
        <f t="shared" si="0"/>
        <v>46128</v>
      </c>
      <c r="C80" s="23">
        <f t="shared" si="1"/>
        <v>3</v>
      </c>
      <c r="D80" s="23">
        <f t="shared" si="2"/>
        <v>1</v>
      </c>
      <c r="E80" s="22">
        <f t="shared" si="3"/>
        <v>179.44444444444443</v>
      </c>
      <c r="F80" s="22">
        <f t="shared" si="4"/>
        <v>212.5</v>
      </c>
      <c r="G80" s="22">
        <f t="shared" si="5"/>
        <v>118.05555555555556</v>
      </c>
      <c r="H80" s="19">
        <f t="shared" si="6"/>
        <v>8.2472962962962984E-2</v>
      </c>
      <c r="I80" s="19">
        <f>(E80*$B$20+F80*$B$21+G80*$B$22)*(1+'02_Plan'!$B$32)/10000000</f>
        <v>1.0366422916666666E-2</v>
      </c>
      <c r="J80" s="19">
        <f>INDEX($C$43:$E$43,D80)/INDEX($C$49:$E$49,D80)*(1+'02_Plan'!$B$32)</f>
        <v>2.9278749999999999E-2</v>
      </c>
      <c r="K80" s="19">
        <f t="shared" si="7"/>
        <v>4.9865673111111106E-2</v>
      </c>
      <c r="L80" s="19">
        <f t="shared" si="8"/>
        <v>4.1930230833333332E-2</v>
      </c>
      <c r="M80" s="19">
        <f t="shared" si="9"/>
        <v>1.3777777777777778E-2</v>
      </c>
      <c r="N80" s="19">
        <f>IF(OR(A80=29,A80=60,A80=90),$B$34*'02_Plan'!$B$25/12,0)</f>
        <v>0</v>
      </c>
      <c r="O80" s="19">
        <f>IF(A80&gt;=$B$7,INDEX($H$65:$H$155,A80-$B$7+1),0)*'02_Plan'!$B$31*(1+'02_Plan'!$B$32)+IF(A80&lt;=$I$7,$H$7/($I$7+1),0)</f>
        <v>3.0222222222222223E-2</v>
      </c>
      <c r="P80" s="19">
        <f>IF(A80&gt;=60,INDEX($H$65:$H$155,A80-60+1),0)*(1-'02_Plan'!$B$31)*(1+'02_Plan'!$B$32)+IF(A80&lt;=$I$8,$H$8/($I$8+1),0)</f>
        <v>1.5333333333333334E-2</v>
      </c>
      <c r="Q80" s="19">
        <f t="shared" si="10"/>
        <v>0</v>
      </c>
      <c r="R80" s="19">
        <f t="shared" si="11"/>
        <v>2.7699756249999999E-2</v>
      </c>
      <c r="S80" s="19">
        <f>J80+IF(A80=INDEX($C$51:$E$51,D80),INDEX($C$44:$E$44,D80)*(1+'02_Plan'!$B$32),0)</f>
        <v>2.9278749999999999E-2</v>
      </c>
      <c r="T80" s="19">
        <f t="shared" si="12"/>
        <v>0</v>
      </c>
      <c r="U80" s="19">
        <f t="shared" si="13"/>
        <v>0</v>
      </c>
      <c r="V80" s="19">
        <f t="shared" si="14"/>
        <v>0</v>
      </c>
      <c r="W80" s="19">
        <f t="shared" si="15"/>
        <v>0</v>
      </c>
      <c r="X80" s="19">
        <f t="shared" si="16"/>
        <v>0</v>
      </c>
      <c r="Y80" s="19">
        <f>IF(A80=INDEX($C$50:$E$50,D80)+4,INDEX($C$46:$E$46,D80)*0.3*(1+'02_Plan'!$B$32),0)+IF(A80=INDEX($C$50:$E$50,D80)+9,INDEX($C$46:$E$46,D80)*0.7*(1+'02_Plan'!$B$32),0)</f>
        <v>0</v>
      </c>
      <c r="Z80" s="19">
        <f>IF(A80=INDEX($C$50:$E$50,D80)+14,INDEX($C$47:$E$47,D80)*(1+'02_Plan'!$B$32),0)</f>
        <v>0</v>
      </c>
      <c r="AA80" s="19">
        <f t="shared" si="17"/>
        <v>0</v>
      </c>
      <c r="AB80" s="19">
        <f t="shared" si="18"/>
        <v>0.10557368172222222</v>
      </c>
      <c r="AC80" s="19">
        <f t="shared" si="19"/>
        <v>0.10253406180555555</v>
      </c>
      <c r="AD80" s="19">
        <f t="shared" si="20"/>
        <v>3.0396199166666665E-3</v>
      </c>
    </row>
    <row r="81" spans="1:30" x14ac:dyDescent="0.35">
      <c r="A81" s="14">
        <v>16</v>
      </c>
      <c r="B81" s="30">
        <f t="shared" si="0"/>
        <v>46129</v>
      </c>
      <c r="C81" s="23">
        <f t="shared" si="1"/>
        <v>3</v>
      </c>
      <c r="D81" s="23">
        <f t="shared" si="2"/>
        <v>1</v>
      </c>
      <c r="E81" s="22">
        <f t="shared" si="3"/>
        <v>179.44444444444443</v>
      </c>
      <c r="F81" s="22">
        <f t="shared" si="4"/>
        <v>212.5</v>
      </c>
      <c r="G81" s="22">
        <f t="shared" si="5"/>
        <v>118.05555555555556</v>
      </c>
      <c r="H81" s="19">
        <f t="shared" si="6"/>
        <v>8.2472962962962984E-2</v>
      </c>
      <c r="I81" s="19">
        <f>(E81*$B$20+F81*$B$21+G81*$B$22)*(1+'02_Plan'!$B$32)/10000000</f>
        <v>1.0366422916666666E-2</v>
      </c>
      <c r="J81" s="19">
        <f>INDEX($C$43:$E$43,D81)/INDEX($C$49:$E$49,D81)*(1+'02_Plan'!$B$32)</f>
        <v>2.9278749999999999E-2</v>
      </c>
      <c r="K81" s="19">
        <f t="shared" si="7"/>
        <v>4.9865673111111106E-2</v>
      </c>
      <c r="L81" s="19">
        <f t="shared" si="8"/>
        <v>4.1930230833333332E-2</v>
      </c>
      <c r="M81" s="19">
        <f t="shared" si="9"/>
        <v>1.3777777777777778E-2</v>
      </c>
      <c r="N81" s="19">
        <f>IF(OR(A81=29,A81=60,A81=90),$B$34*'02_Plan'!$B$25/12,0)</f>
        <v>0</v>
      </c>
      <c r="O81" s="19">
        <f>IF(A81&gt;=$B$7,INDEX($H$65:$H$155,A81-$B$7+1),0)*'02_Plan'!$B$31*(1+'02_Plan'!$B$32)+IF(A81&lt;=$I$7,$H$7/($I$7+1),0)</f>
        <v>3.0222222222222223E-2</v>
      </c>
      <c r="P81" s="19">
        <f>IF(A81&gt;=60,INDEX($H$65:$H$155,A81-60+1),0)*(1-'02_Plan'!$B$31)*(1+'02_Plan'!$B$32)+IF(A81&lt;=$I$8,$H$8/($I$8+1),0)</f>
        <v>1.5333333333333334E-2</v>
      </c>
      <c r="Q81" s="19">
        <f t="shared" si="10"/>
        <v>0</v>
      </c>
      <c r="R81" s="19">
        <f t="shared" si="11"/>
        <v>2.7699756249999999E-2</v>
      </c>
      <c r="S81" s="19">
        <f>J81+IF(A81=INDEX($C$51:$E$51,D81),INDEX($C$44:$E$44,D81)*(1+'02_Plan'!$B$32),0)</f>
        <v>2.9278749999999999E-2</v>
      </c>
      <c r="T81" s="19">
        <f t="shared" si="12"/>
        <v>0</v>
      </c>
      <c r="U81" s="19">
        <f t="shared" si="13"/>
        <v>0</v>
      </c>
      <c r="V81" s="19">
        <f t="shared" si="14"/>
        <v>0</v>
      </c>
      <c r="W81" s="19">
        <f t="shared" si="15"/>
        <v>0</v>
      </c>
      <c r="X81" s="19">
        <f t="shared" si="16"/>
        <v>0</v>
      </c>
      <c r="Y81" s="19">
        <f>IF(A81=INDEX($C$50:$E$50,D81)+4,INDEX($C$46:$E$46,D81)*0.3*(1+'02_Plan'!$B$32),0)+IF(A81=INDEX($C$50:$E$50,D81)+9,INDEX($C$46:$E$46,D81)*0.7*(1+'02_Plan'!$B$32),0)</f>
        <v>0</v>
      </c>
      <c r="Z81" s="19">
        <f>IF(A81=INDEX($C$50:$E$50,D81)+14,INDEX($C$47:$E$47,D81)*(1+'02_Plan'!$B$32),0)</f>
        <v>0</v>
      </c>
      <c r="AA81" s="19">
        <f t="shared" si="17"/>
        <v>0</v>
      </c>
      <c r="AB81" s="19">
        <f t="shared" si="18"/>
        <v>0.10557368172222222</v>
      </c>
      <c r="AC81" s="19">
        <f t="shared" si="19"/>
        <v>0.10253406180555555</v>
      </c>
      <c r="AD81" s="19">
        <f t="shared" si="20"/>
        <v>3.0396199166666665E-3</v>
      </c>
    </row>
    <row r="82" spans="1:30" x14ac:dyDescent="0.35">
      <c r="A82" s="14">
        <v>17</v>
      </c>
      <c r="B82" s="30">
        <f t="shared" si="0"/>
        <v>46130</v>
      </c>
      <c r="C82" s="23">
        <f t="shared" si="1"/>
        <v>3</v>
      </c>
      <c r="D82" s="23">
        <f t="shared" si="2"/>
        <v>1</v>
      </c>
      <c r="E82" s="22">
        <f t="shared" si="3"/>
        <v>179.44444444444443</v>
      </c>
      <c r="F82" s="22">
        <f t="shared" si="4"/>
        <v>212.5</v>
      </c>
      <c r="G82" s="22">
        <f t="shared" si="5"/>
        <v>118.05555555555556</v>
      </c>
      <c r="H82" s="19">
        <f t="shared" si="6"/>
        <v>8.2472962962962984E-2</v>
      </c>
      <c r="I82" s="19">
        <f>(E82*$B$20+F82*$B$21+G82*$B$22)*(1+'02_Plan'!$B$32)/10000000</f>
        <v>1.0366422916666666E-2</v>
      </c>
      <c r="J82" s="19">
        <f>INDEX($C$43:$E$43,D82)/INDEX($C$49:$E$49,D82)*(1+'02_Plan'!$B$32)</f>
        <v>2.9278749999999999E-2</v>
      </c>
      <c r="K82" s="19">
        <f t="shared" si="7"/>
        <v>4.9865673111111106E-2</v>
      </c>
      <c r="L82" s="19">
        <f t="shared" si="8"/>
        <v>4.1930230833333332E-2</v>
      </c>
      <c r="M82" s="19">
        <f t="shared" si="9"/>
        <v>1.3777777777777778E-2</v>
      </c>
      <c r="N82" s="19">
        <f>IF(OR(A82=29,A82=60,A82=90),$B$34*'02_Plan'!$B$25/12,0)</f>
        <v>0</v>
      </c>
      <c r="O82" s="19">
        <f>IF(A82&gt;=$B$7,INDEX($H$65:$H$155,A82-$B$7+1),0)*'02_Plan'!$B$31*(1+'02_Plan'!$B$32)+IF(A82&lt;=$I$7,$H$7/($I$7+1),0)</f>
        <v>3.0222222222222223E-2</v>
      </c>
      <c r="P82" s="19">
        <f>IF(A82&gt;=60,INDEX($H$65:$H$155,A82-60+1),0)*(1-'02_Plan'!$B$31)*(1+'02_Plan'!$B$32)+IF(A82&lt;=$I$8,$H$8/($I$8+1),0)</f>
        <v>1.5333333333333334E-2</v>
      </c>
      <c r="Q82" s="19">
        <f t="shared" si="10"/>
        <v>0</v>
      </c>
      <c r="R82" s="19">
        <f t="shared" si="11"/>
        <v>2.7699756249999999E-2</v>
      </c>
      <c r="S82" s="19">
        <f>J82+IF(A82=INDEX($C$51:$E$51,D82),INDEX($C$44:$E$44,D82)*(1+'02_Plan'!$B$32),0)</f>
        <v>2.9278749999999999E-2</v>
      </c>
      <c r="T82" s="19">
        <f t="shared" si="12"/>
        <v>0</v>
      </c>
      <c r="U82" s="19">
        <f t="shared" si="13"/>
        <v>0</v>
      </c>
      <c r="V82" s="19">
        <f t="shared" si="14"/>
        <v>0</v>
      </c>
      <c r="W82" s="19">
        <f t="shared" si="15"/>
        <v>0</v>
      </c>
      <c r="X82" s="19">
        <f t="shared" si="16"/>
        <v>0</v>
      </c>
      <c r="Y82" s="19">
        <f>IF(A82=INDEX($C$50:$E$50,D82)+4,INDEX($C$46:$E$46,D82)*0.3*(1+'02_Plan'!$B$32),0)+IF(A82=INDEX($C$50:$E$50,D82)+9,INDEX($C$46:$E$46,D82)*0.7*(1+'02_Plan'!$B$32),0)</f>
        <v>0</v>
      </c>
      <c r="Z82" s="19">
        <f>IF(A82=INDEX($C$50:$E$50,D82)+14,INDEX($C$47:$E$47,D82)*(1+'02_Plan'!$B$32),0)</f>
        <v>0</v>
      </c>
      <c r="AA82" s="19">
        <f t="shared" si="17"/>
        <v>0</v>
      </c>
      <c r="AB82" s="19">
        <f t="shared" si="18"/>
        <v>0.10557368172222222</v>
      </c>
      <c r="AC82" s="19">
        <f t="shared" si="19"/>
        <v>0.10253406180555555</v>
      </c>
      <c r="AD82" s="19">
        <f t="shared" si="20"/>
        <v>3.0396199166666665E-3</v>
      </c>
    </row>
    <row r="83" spans="1:30" x14ac:dyDescent="0.35">
      <c r="A83" s="14">
        <v>18</v>
      </c>
      <c r="B83" s="30">
        <f t="shared" si="0"/>
        <v>46131</v>
      </c>
      <c r="C83" s="23">
        <f t="shared" si="1"/>
        <v>3</v>
      </c>
      <c r="D83" s="23">
        <f t="shared" si="2"/>
        <v>1</v>
      </c>
      <c r="E83" s="22">
        <f t="shared" si="3"/>
        <v>179.44444444444443</v>
      </c>
      <c r="F83" s="22">
        <f t="shared" si="4"/>
        <v>212.5</v>
      </c>
      <c r="G83" s="22">
        <f t="shared" si="5"/>
        <v>118.05555555555556</v>
      </c>
      <c r="H83" s="19">
        <f t="shared" si="6"/>
        <v>8.2472962962962984E-2</v>
      </c>
      <c r="I83" s="19">
        <f>(E83*$B$20+F83*$B$21+G83*$B$22)*(1+'02_Plan'!$B$32)/10000000</f>
        <v>1.0366422916666666E-2</v>
      </c>
      <c r="J83" s="19">
        <f>INDEX($C$43:$E$43,D83)/INDEX($C$49:$E$49,D83)*(1+'02_Plan'!$B$32)</f>
        <v>2.9278749999999999E-2</v>
      </c>
      <c r="K83" s="19">
        <f t="shared" si="7"/>
        <v>4.9865673111111106E-2</v>
      </c>
      <c r="L83" s="19">
        <f t="shared" si="8"/>
        <v>4.1930230833333332E-2</v>
      </c>
      <c r="M83" s="19">
        <f t="shared" si="9"/>
        <v>1.3777777777777778E-2</v>
      </c>
      <c r="N83" s="19">
        <f>IF(OR(A83=29,A83=60,A83=90),$B$34*'02_Plan'!$B$25/12,0)</f>
        <v>0</v>
      </c>
      <c r="O83" s="19">
        <f>IF(A83&gt;=$B$7,INDEX($H$65:$H$155,A83-$B$7+1),0)*'02_Plan'!$B$31*(1+'02_Plan'!$B$32)+IF(A83&lt;=$I$7,$H$7/($I$7+1),0)</f>
        <v>3.0222222222222223E-2</v>
      </c>
      <c r="P83" s="19">
        <f>IF(A83&gt;=60,INDEX($H$65:$H$155,A83-60+1),0)*(1-'02_Plan'!$B$31)*(1+'02_Plan'!$B$32)+IF(A83&lt;=$I$8,$H$8/($I$8+1),0)</f>
        <v>1.5333333333333334E-2</v>
      </c>
      <c r="Q83" s="19">
        <f t="shared" si="10"/>
        <v>0</v>
      </c>
      <c r="R83" s="19">
        <f t="shared" si="11"/>
        <v>2.7699756249999999E-2</v>
      </c>
      <c r="S83" s="19">
        <f>J83+IF(A83=INDEX($C$51:$E$51,D83),INDEX($C$44:$E$44,D83)*(1+'02_Plan'!$B$32),0)</f>
        <v>2.9278749999999999E-2</v>
      </c>
      <c r="T83" s="19">
        <f t="shared" si="12"/>
        <v>0</v>
      </c>
      <c r="U83" s="19">
        <f t="shared" si="13"/>
        <v>0</v>
      </c>
      <c r="V83" s="19">
        <f t="shared" si="14"/>
        <v>0</v>
      </c>
      <c r="W83" s="19">
        <f t="shared" si="15"/>
        <v>0</v>
      </c>
      <c r="X83" s="19">
        <f t="shared" si="16"/>
        <v>0</v>
      </c>
      <c r="Y83" s="19">
        <f>IF(A83=INDEX($C$50:$E$50,D83)+4,INDEX($C$46:$E$46,D83)*0.3*(1+'02_Plan'!$B$32),0)+IF(A83=INDEX($C$50:$E$50,D83)+9,INDEX($C$46:$E$46,D83)*0.7*(1+'02_Plan'!$B$32),0)</f>
        <v>0</v>
      </c>
      <c r="Z83" s="19">
        <f>IF(A83=INDEX($C$50:$E$50,D83)+14,INDEX($C$47:$E$47,D83)*(1+'02_Plan'!$B$32),0)</f>
        <v>0</v>
      </c>
      <c r="AA83" s="19">
        <f t="shared" si="17"/>
        <v>0</v>
      </c>
      <c r="AB83" s="19">
        <f t="shared" si="18"/>
        <v>0.10557368172222222</v>
      </c>
      <c r="AC83" s="19">
        <f t="shared" si="19"/>
        <v>0.10253406180555555</v>
      </c>
      <c r="AD83" s="19">
        <f t="shared" si="20"/>
        <v>3.0396199166666665E-3</v>
      </c>
    </row>
    <row r="84" spans="1:30" x14ac:dyDescent="0.35">
      <c r="A84" s="14">
        <v>19</v>
      </c>
      <c r="B84" s="30">
        <f t="shared" si="0"/>
        <v>46132</v>
      </c>
      <c r="C84" s="23">
        <f t="shared" si="1"/>
        <v>3</v>
      </c>
      <c r="D84" s="23">
        <f t="shared" si="2"/>
        <v>1</v>
      </c>
      <c r="E84" s="22">
        <f t="shared" si="3"/>
        <v>179.44444444444443</v>
      </c>
      <c r="F84" s="22">
        <f t="shared" si="4"/>
        <v>212.5</v>
      </c>
      <c r="G84" s="22">
        <f t="shared" si="5"/>
        <v>118.05555555555556</v>
      </c>
      <c r="H84" s="19">
        <f t="shared" si="6"/>
        <v>8.2472962962962984E-2</v>
      </c>
      <c r="I84" s="19">
        <f>(E84*$B$20+F84*$B$21+G84*$B$22)*(1+'02_Plan'!$B$32)/10000000</f>
        <v>1.0366422916666666E-2</v>
      </c>
      <c r="J84" s="19">
        <f>INDEX($C$43:$E$43,D84)/INDEX($C$49:$E$49,D84)*(1+'02_Plan'!$B$32)</f>
        <v>2.9278749999999999E-2</v>
      </c>
      <c r="K84" s="19">
        <f t="shared" si="7"/>
        <v>4.9865673111111106E-2</v>
      </c>
      <c r="L84" s="19">
        <f t="shared" si="8"/>
        <v>4.1930230833333332E-2</v>
      </c>
      <c r="M84" s="19">
        <f t="shared" si="9"/>
        <v>1.3777777777777778E-2</v>
      </c>
      <c r="N84" s="19">
        <f>IF(OR(A84=29,A84=60,A84=90),$B$34*'02_Plan'!$B$25/12,0)</f>
        <v>0</v>
      </c>
      <c r="O84" s="19">
        <f>IF(A84&gt;=$B$7,INDEX($H$65:$H$155,A84-$B$7+1),0)*'02_Plan'!$B$31*(1+'02_Plan'!$B$32)+IF(A84&lt;=$I$7,$H$7/($I$7+1),0)</f>
        <v>3.0222222222222223E-2</v>
      </c>
      <c r="P84" s="19">
        <f>IF(A84&gt;=60,INDEX($H$65:$H$155,A84-60+1),0)*(1-'02_Plan'!$B$31)*(1+'02_Plan'!$B$32)+IF(A84&lt;=$I$8,$H$8/($I$8+1),0)</f>
        <v>1.5333333333333334E-2</v>
      </c>
      <c r="Q84" s="19">
        <f t="shared" si="10"/>
        <v>0</v>
      </c>
      <c r="R84" s="19">
        <f t="shared" si="11"/>
        <v>2.7699756249999999E-2</v>
      </c>
      <c r="S84" s="19">
        <f>J84+IF(A84=INDEX($C$51:$E$51,D84),INDEX($C$44:$E$44,D84)*(1+'02_Plan'!$B$32),0)</f>
        <v>2.9278749999999999E-2</v>
      </c>
      <c r="T84" s="19">
        <f t="shared" si="12"/>
        <v>0</v>
      </c>
      <c r="U84" s="19">
        <f t="shared" si="13"/>
        <v>0.12</v>
      </c>
      <c r="V84" s="19">
        <f t="shared" si="14"/>
        <v>0</v>
      </c>
      <c r="W84" s="19">
        <f t="shared" si="15"/>
        <v>0</v>
      </c>
      <c r="X84" s="19">
        <f t="shared" si="16"/>
        <v>2E-3</v>
      </c>
      <c r="Y84" s="19">
        <f>IF(A84=INDEX($C$50:$E$50,D84)+4,INDEX($C$46:$E$46,D84)*0.3*(1+'02_Plan'!$B$32),0)+IF(A84=INDEX($C$50:$E$50,D84)+9,INDEX($C$46:$E$46,D84)*0.7*(1+'02_Plan'!$B$32),0)</f>
        <v>0</v>
      </c>
      <c r="Z84" s="19">
        <f>IF(A84=INDEX($C$50:$E$50,D84)+14,INDEX($C$47:$E$47,D84)*(1+'02_Plan'!$B$32),0)</f>
        <v>0</v>
      </c>
      <c r="AA84" s="19">
        <f t="shared" si="17"/>
        <v>0</v>
      </c>
      <c r="AB84" s="19">
        <f t="shared" si="18"/>
        <v>0.10557368172222222</v>
      </c>
      <c r="AC84" s="19">
        <f t="shared" si="19"/>
        <v>0.22453406180555555</v>
      </c>
      <c r="AD84" s="19">
        <f t="shared" si="20"/>
        <v>-0.11896038008333333</v>
      </c>
    </row>
    <row r="85" spans="1:30" x14ac:dyDescent="0.35">
      <c r="A85" s="14">
        <v>20</v>
      </c>
      <c r="B85" s="30">
        <f t="shared" si="0"/>
        <v>46133</v>
      </c>
      <c r="C85" s="23">
        <f t="shared" si="1"/>
        <v>3</v>
      </c>
      <c r="D85" s="23">
        <f t="shared" si="2"/>
        <v>1</v>
      </c>
      <c r="E85" s="22">
        <f t="shared" si="3"/>
        <v>179.44444444444443</v>
      </c>
      <c r="F85" s="22">
        <f t="shared" si="4"/>
        <v>212.5</v>
      </c>
      <c r="G85" s="22">
        <f t="shared" si="5"/>
        <v>118.05555555555556</v>
      </c>
      <c r="H85" s="19">
        <f t="shared" si="6"/>
        <v>8.2472962962962984E-2</v>
      </c>
      <c r="I85" s="19">
        <f>(E85*$B$20+F85*$B$21+G85*$B$22)*(1+'02_Plan'!$B$32)/10000000</f>
        <v>1.0366422916666666E-2</v>
      </c>
      <c r="J85" s="19">
        <f>INDEX($C$43:$E$43,D85)/INDEX($C$49:$E$49,D85)*(1+'02_Plan'!$B$32)</f>
        <v>2.9278749999999999E-2</v>
      </c>
      <c r="K85" s="19">
        <f t="shared" si="7"/>
        <v>4.9865673111111106E-2</v>
      </c>
      <c r="L85" s="19">
        <f t="shared" si="8"/>
        <v>4.1930230833333332E-2</v>
      </c>
      <c r="M85" s="19">
        <f t="shared" si="9"/>
        <v>1.3777777777777778E-2</v>
      </c>
      <c r="N85" s="19">
        <f>IF(OR(A85=29,A85=60,A85=90),$B$34*'02_Plan'!$B$25/12,0)</f>
        <v>0</v>
      </c>
      <c r="O85" s="19">
        <f>IF(A85&gt;=$B$7,INDEX($H$65:$H$155,A85-$B$7+1),0)*'02_Plan'!$B$31*(1+'02_Plan'!$B$32)+IF(A85&lt;=$I$7,$H$7/($I$7+1),0)</f>
        <v>3.0222222222222223E-2</v>
      </c>
      <c r="P85" s="19">
        <f>IF(A85&gt;=60,INDEX($H$65:$H$155,A85-60+1),0)*(1-'02_Plan'!$B$31)*(1+'02_Plan'!$B$32)+IF(A85&lt;=$I$8,$H$8/($I$8+1),0)</f>
        <v>1.5333333333333334E-2</v>
      </c>
      <c r="Q85" s="19">
        <f t="shared" si="10"/>
        <v>0</v>
      </c>
      <c r="R85" s="19">
        <f t="shared" si="11"/>
        <v>2.7699756249999999E-2</v>
      </c>
      <c r="S85" s="19">
        <f>J85+IF(A85=INDEX($C$51:$E$51,D85),INDEX($C$44:$E$44,D85)*(1+'02_Plan'!$B$32),0)</f>
        <v>2.9278749999999999E-2</v>
      </c>
      <c r="T85" s="19">
        <f t="shared" si="12"/>
        <v>0</v>
      </c>
      <c r="U85" s="19">
        <f t="shared" si="13"/>
        <v>0</v>
      </c>
      <c r="V85" s="19">
        <f t="shared" si="14"/>
        <v>0</v>
      </c>
      <c r="W85" s="19">
        <f t="shared" si="15"/>
        <v>0</v>
      </c>
      <c r="X85" s="19">
        <f t="shared" si="16"/>
        <v>0</v>
      </c>
      <c r="Y85" s="19">
        <f>IF(A85=INDEX($C$50:$E$50,D85)+4,INDEX($C$46:$E$46,D85)*0.3*(1+'02_Plan'!$B$32),0)+IF(A85=INDEX($C$50:$E$50,D85)+9,INDEX($C$46:$E$46,D85)*0.7*(1+'02_Plan'!$B$32),0)</f>
        <v>0</v>
      </c>
      <c r="Z85" s="19">
        <f>IF(A85=INDEX($C$50:$E$50,D85)+14,INDEX($C$47:$E$47,D85)*(1+'02_Plan'!$B$32),0)</f>
        <v>0</v>
      </c>
      <c r="AA85" s="19">
        <f t="shared" si="17"/>
        <v>0</v>
      </c>
      <c r="AB85" s="19">
        <f t="shared" si="18"/>
        <v>0.10557368172222222</v>
      </c>
      <c r="AC85" s="19">
        <f t="shared" si="19"/>
        <v>0.10253406180555555</v>
      </c>
      <c r="AD85" s="19">
        <f t="shared" si="20"/>
        <v>3.0396199166666665E-3</v>
      </c>
    </row>
    <row r="86" spans="1:30" x14ac:dyDescent="0.35">
      <c r="A86" s="14">
        <v>21</v>
      </c>
      <c r="B86" s="30">
        <f t="shared" si="0"/>
        <v>46134</v>
      </c>
      <c r="C86" s="23">
        <f t="shared" si="1"/>
        <v>4</v>
      </c>
      <c r="D86" s="23">
        <f t="shared" si="2"/>
        <v>1</v>
      </c>
      <c r="E86" s="22">
        <f t="shared" si="3"/>
        <v>179.44444444444443</v>
      </c>
      <c r="F86" s="22">
        <f t="shared" si="4"/>
        <v>212.5</v>
      </c>
      <c r="G86" s="22">
        <f t="shared" si="5"/>
        <v>118.05555555555556</v>
      </c>
      <c r="H86" s="19">
        <f t="shared" si="6"/>
        <v>8.2472962962962984E-2</v>
      </c>
      <c r="I86" s="19">
        <f>(E86*$B$20+F86*$B$21+G86*$B$22)*(1+'02_Plan'!$B$32)/10000000</f>
        <v>1.0366422916666666E-2</v>
      </c>
      <c r="J86" s="19">
        <f>INDEX($C$43:$E$43,D86)/INDEX($C$49:$E$49,D86)*(1+'02_Plan'!$B$32)</f>
        <v>2.9278749999999999E-2</v>
      </c>
      <c r="K86" s="19">
        <f t="shared" si="7"/>
        <v>4.9865673111111106E-2</v>
      </c>
      <c r="L86" s="19">
        <f t="shared" si="8"/>
        <v>4.1930230833333332E-2</v>
      </c>
      <c r="M86" s="19">
        <f t="shared" si="9"/>
        <v>1.3777777777777778E-2</v>
      </c>
      <c r="N86" s="19">
        <f>IF(OR(A86=29,A86=60,A86=90),$B$34*'02_Plan'!$B$25/12,0)</f>
        <v>0</v>
      </c>
      <c r="O86" s="19">
        <f>IF(A86&gt;=$B$7,INDEX($H$65:$H$155,A86-$B$7+1),0)*'02_Plan'!$B$31*(1+'02_Plan'!$B$32)+IF(A86&lt;=$I$7,$H$7/($I$7+1),0)</f>
        <v>3.0222222222222223E-2</v>
      </c>
      <c r="P86" s="19">
        <f>IF(A86&gt;=60,INDEX($H$65:$H$155,A86-60+1),0)*(1-'02_Plan'!$B$31)*(1+'02_Plan'!$B$32)+IF(A86&lt;=$I$8,$H$8/($I$8+1),0)</f>
        <v>1.5333333333333334E-2</v>
      </c>
      <c r="Q86" s="19">
        <f t="shared" si="10"/>
        <v>0</v>
      </c>
      <c r="R86" s="19">
        <f t="shared" si="11"/>
        <v>2.7699756249999999E-2</v>
      </c>
      <c r="S86" s="19">
        <f>J86+IF(A86=INDEX($C$51:$E$51,D86),INDEX($C$44:$E$44,D86)*(1+'02_Plan'!$B$32),0)</f>
        <v>2.9278749999999999E-2</v>
      </c>
      <c r="T86" s="19">
        <f t="shared" si="12"/>
        <v>0</v>
      </c>
      <c r="U86" s="19">
        <f t="shared" si="13"/>
        <v>0</v>
      </c>
      <c r="V86" s="19">
        <f t="shared" si="14"/>
        <v>0</v>
      </c>
      <c r="W86" s="19">
        <f t="shared" si="15"/>
        <v>0</v>
      </c>
      <c r="X86" s="19">
        <f t="shared" si="16"/>
        <v>0</v>
      </c>
      <c r="Y86" s="19">
        <f>IF(A86=INDEX($C$50:$E$50,D86)+4,INDEX($C$46:$E$46,D86)*0.3*(1+'02_Plan'!$B$32),0)+IF(A86=INDEX($C$50:$E$50,D86)+9,INDEX($C$46:$E$46,D86)*0.7*(1+'02_Plan'!$B$32),0)</f>
        <v>0</v>
      </c>
      <c r="Z86" s="19">
        <f>IF(A86=INDEX($C$50:$E$50,D86)+14,INDEX($C$47:$E$47,D86)*(1+'02_Plan'!$B$32),0)</f>
        <v>0</v>
      </c>
      <c r="AA86" s="19">
        <f t="shared" si="17"/>
        <v>0</v>
      </c>
      <c r="AB86" s="19">
        <f t="shared" si="18"/>
        <v>0.10557368172222222</v>
      </c>
      <c r="AC86" s="19">
        <f t="shared" si="19"/>
        <v>0.10253406180555555</v>
      </c>
      <c r="AD86" s="19">
        <f t="shared" si="20"/>
        <v>3.0396199166666665E-3</v>
      </c>
    </row>
    <row r="87" spans="1:30" x14ac:dyDescent="0.35">
      <c r="A87" s="14">
        <v>22</v>
      </c>
      <c r="B87" s="30">
        <f t="shared" si="0"/>
        <v>46135</v>
      </c>
      <c r="C87" s="23">
        <f t="shared" si="1"/>
        <v>4</v>
      </c>
      <c r="D87" s="23">
        <f t="shared" si="2"/>
        <v>1</v>
      </c>
      <c r="E87" s="22">
        <f t="shared" si="3"/>
        <v>179.44444444444443</v>
      </c>
      <c r="F87" s="22">
        <f t="shared" si="4"/>
        <v>212.5</v>
      </c>
      <c r="G87" s="22">
        <f t="shared" si="5"/>
        <v>118.05555555555556</v>
      </c>
      <c r="H87" s="19">
        <f t="shared" si="6"/>
        <v>8.2472962962962984E-2</v>
      </c>
      <c r="I87" s="19">
        <f>(E87*$B$20+F87*$B$21+G87*$B$22)*(1+'02_Plan'!$B$32)/10000000</f>
        <v>1.0366422916666666E-2</v>
      </c>
      <c r="J87" s="19">
        <f>INDEX($C$43:$E$43,D87)/INDEX($C$49:$E$49,D87)*(1+'02_Plan'!$B$32)</f>
        <v>2.9278749999999999E-2</v>
      </c>
      <c r="K87" s="19">
        <f t="shared" si="7"/>
        <v>4.9865673111111106E-2</v>
      </c>
      <c r="L87" s="19">
        <f t="shared" si="8"/>
        <v>4.1930230833333332E-2</v>
      </c>
      <c r="M87" s="19">
        <f t="shared" si="9"/>
        <v>1.3777777777777778E-2</v>
      </c>
      <c r="N87" s="19">
        <f>IF(OR(A87=29,A87=60,A87=90),$B$34*'02_Plan'!$B$25/12,0)</f>
        <v>0</v>
      </c>
      <c r="O87" s="19">
        <f>IF(A87&gt;=$B$7,INDEX($H$65:$H$155,A87-$B$7+1),0)*'02_Plan'!$B$31*(1+'02_Plan'!$B$32)+IF(A87&lt;=$I$7,$H$7/($I$7+1),0)</f>
        <v>3.0222222222222223E-2</v>
      </c>
      <c r="P87" s="19">
        <f>IF(A87&gt;=60,INDEX($H$65:$H$155,A87-60+1),0)*(1-'02_Plan'!$B$31)*(1+'02_Plan'!$B$32)+IF(A87&lt;=$I$8,$H$8/($I$8+1),0)</f>
        <v>1.5333333333333334E-2</v>
      </c>
      <c r="Q87" s="19">
        <f t="shared" si="10"/>
        <v>0</v>
      </c>
      <c r="R87" s="19">
        <f t="shared" si="11"/>
        <v>2.7699756249999999E-2</v>
      </c>
      <c r="S87" s="19">
        <f>J87+IF(A87=INDEX($C$51:$E$51,D87),INDEX($C$44:$E$44,D87)*(1+'02_Plan'!$B$32),0)</f>
        <v>2.9278749999999999E-2</v>
      </c>
      <c r="T87" s="19">
        <f t="shared" si="12"/>
        <v>0</v>
      </c>
      <c r="U87" s="19">
        <f t="shared" si="13"/>
        <v>0</v>
      </c>
      <c r="V87" s="19">
        <f t="shared" si="14"/>
        <v>0</v>
      </c>
      <c r="W87" s="19">
        <f t="shared" si="15"/>
        <v>0</v>
      </c>
      <c r="X87" s="19">
        <f t="shared" si="16"/>
        <v>0</v>
      </c>
      <c r="Y87" s="19">
        <f>IF(A87=INDEX($C$50:$E$50,D87)+4,INDEX($C$46:$E$46,D87)*0.3*(1+'02_Plan'!$B$32),0)+IF(A87=INDEX($C$50:$E$50,D87)+9,INDEX($C$46:$E$46,D87)*0.7*(1+'02_Plan'!$B$32),0)</f>
        <v>0</v>
      </c>
      <c r="Z87" s="19">
        <f>IF(A87=INDEX($C$50:$E$50,D87)+14,INDEX($C$47:$E$47,D87)*(1+'02_Plan'!$B$32),0)</f>
        <v>0</v>
      </c>
      <c r="AA87" s="19">
        <f t="shared" si="17"/>
        <v>0</v>
      </c>
      <c r="AB87" s="19">
        <f t="shared" si="18"/>
        <v>0.10557368172222222</v>
      </c>
      <c r="AC87" s="19">
        <f t="shared" si="19"/>
        <v>0.10253406180555555</v>
      </c>
      <c r="AD87" s="19">
        <f t="shared" si="20"/>
        <v>3.0396199166666665E-3</v>
      </c>
    </row>
    <row r="88" spans="1:30" x14ac:dyDescent="0.35">
      <c r="A88" s="14">
        <v>23</v>
      </c>
      <c r="B88" s="30">
        <f t="shared" si="0"/>
        <v>46136</v>
      </c>
      <c r="C88" s="23">
        <f t="shared" si="1"/>
        <v>4</v>
      </c>
      <c r="D88" s="23">
        <f t="shared" si="2"/>
        <v>1</v>
      </c>
      <c r="E88" s="22">
        <f t="shared" si="3"/>
        <v>179.44444444444443</v>
      </c>
      <c r="F88" s="22">
        <f t="shared" si="4"/>
        <v>212.5</v>
      </c>
      <c r="G88" s="22">
        <f t="shared" si="5"/>
        <v>118.05555555555556</v>
      </c>
      <c r="H88" s="19">
        <f t="shared" si="6"/>
        <v>8.2472962962962984E-2</v>
      </c>
      <c r="I88" s="19">
        <f>(E88*$B$20+F88*$B$21+G88*$B$22)*(1+'02_Plan'!$B$32)/10000000</f>
        <v>1.0366422916666666E-2</v>
      </c>
      <c r="J88" s="19">
        <f>INDEX($C$43:$E$43,D88)/INDEX($C$49:$E$49,D88)*(1+'02_Plan'!$B$32)</f>
        <v>2.9278749999999999E-2</v>
      </c>
      <c r="K88" s="19">
        <f t="shared" si="7"/>
        <v>4.9865673111111106E-2</v>
      </c>
      <c r="L88" s="19">
        <f t="shared" si="8"/>
        <v>4.1930230833333332E-2</v>
      </c>
      <c r="M88" s="19">
        <f t="shared" si="9"/>
        <v>1.3777777777777778E-2</v>
      </c>
      <c r="N88" s="19">
        <f>IF(OR(A88=29,A88=60,A88=90),$B$34*'02_Plan'!$B$25/12,0)</f>
        <v>0</v>
      </c>
      <c r="O88" s="19">
        <f>IF(A88&gt;=$B$7,INDEX($H$65:$H$155,A88-$B$7+1),0)*'02_Plan'!$B$31*(1+'02_Plan'!$B$32)+IF(A88&lt;=$I$7,$H$7/($I$7+1),0)</f>
        <v>3.0222222222222223E-2</v>
      </c>
      <c r="P88" s="19">
        <f>IF(A88&gt;=60,INDEX($H$65:$H$155,A88-60+1),0)*(1-'02_Plan'!$B$31)*(1+'02_Plan'!$B$32)+IF(A88&lt;=$I$8,$H$8/($I$8+1),0)</f>
        <v>1.5333333333333334E-2</v>
      </c>
      <c r="Q88" s="19">
        <f t="shared" si="10"/>
        <v>0</v>
      </c>
      <c r="R88" s="19">
        <f t="shared" si="11"/>
        <v>2.7699756249999999E-2</v>
      </c>
      <c r="S88" s="19">
        <f>J88+IF(A88=INDEX($C$51:$E$51,D88),INDEX($C$44:$E$44,D88)*(1+'02_Plan'!$B$32),0)</f>
        <v>2.9278749999999999E-2</v>
      </c>
      <c r="T88" s="19">
        <f t="shared" si="12"/>
        <v>0</v>
      </c>
      <c r="U88" s="19">
        <f t="shared" si="13"/>
        <v>0</v>
      </c>
      <c r="V88" s="19">
        <f t="shared" si="14"/>
        <v>0</v>
      </c>
      <c r="W88" s="19">
        <f t="shared" si="15"/>
        <v>0</v>
      </c>
      <c r="X88" s="19">
        <f t="shared" si="16"/>
        <v>0</v>
      </c>
      <c r="Y88" s="19">
        <f>IF(A88=INDEX($C$50:$E$50,D88)+4,INDEX($C$46:$E$46,D88)*0.3*(1+'02_Plan'!$B$32),0)+IF(A88=INDEX($C$50:$E$50,D88)+9,INDEX($C$46:$E$46,D88)*0.7*(1+'02_Plan'!$B$32),0)</f>
        <v>0</v>
      </c>
      <c r="Z88" s="19">
        <f>IF(A88=INDEX($C$50:$E$50,D88)+14,INDEX($C$47:$E$47,D88)*(1+'02_Plan'!$B$32),0)</f>
        <v>0</v>
      </c>
      <c r="AA88" s="19">
        <f t="shared" si="17"/>
        <v>0</v>
      </c>
      <c r="AB88" s="19">
        <f t="shared" si="18"/>
        <v>0.10557368172222222</v>
      </c>
      <c r="AC88" s="19">
        <f t="shared" si="19"/>
        <v>0.10253406180555555</v>
      </c>
      <c r="AD88" s="19">
        <f t="shared" si="20"/>
        <v>3.0396199166666665E-3</v>
      </c>
    </row>
    <row r="89" spans="1:30" x14ac:dyDescent="0.35">
      <c r="A89" s="14">
        <v>24</v>
      </c>
      <c r="B89" s="30">
        <f t="shared" si="0"/>
        <v>46137</v>
      </c>
      <c r="C89" s="23">
        <f t="shared" si="1"/>
        <v>4</v>
      </c>
      <c r="D89" s="23">
        <f t="shared" si="2"/>
        <v>1</v>
      </c>
      <c r="E89" s="22">
        <f t="shared" si="3"/>
        <v>179.44444444444443</v>
      </c>
      <c r="F89" s="22">
        <f t="shared" si="4"/>
        <v>212.5</v>
      </c>
      <c r="G89" s="22">
        <f t="shared" si="5"/>
        <v>118.05555555555556</v>
      </c>
      <c r="H89" s="19">
        <f t="shared" si="6"/>
        <v>8.2472962962962984E-2</v>
      </c>
      <c r="I89" s="19">
        <f>(E89*$B$20+F89*$B$21+G89*$B$22)*(1+'02_Plan'!$B$32)/10000000</f>
        <v>1.0366422916666666E-2</v>
      </c>
      <c r="J89" s="19">
        <f>INDEX($C$43:$E$43,D89)/INDEX($C$49:$E$49,D89)*(1+'02_Plan'!$B$32)</f>
        <v>2.9278749999999999E-2</v>
      </c>
      <c r="K89" s="19">
        <f t="shared" si="7"/>
        <v>4.9865673111111106E-2</v>
      </c>
      <c r="L89" s="19">
        <f t="shared" si="8"/>
        <v>4.1930230833333332E-2</v>
      </c>
      <c r="M89" s="19">
        <f t="shared" si="9"/>
        <v>1.3777777777777778E-2</v>
      </c>
      <c r="N89" s="19">
        <f>IF(OR(A89=29,A89=60,A89=90),$B$34*'02_Plan'!$B$25/12,0)</f>
        <v>0</v>
      </c>
      <c r="O89" s="19">
        <f>IF(A89&gt;=$B$7,INDEX($H$65:$H$155,A89-$B$7+1),0)*'02_Plan'!$B$31*(1+'02_Plan'!$B$32)+IF(A89&lt;=$I$7,$H$7/($I$7+1),0)</f>
        <v>3.0222222222222223E-2</v>
      </c>
      <c r="P89" s="19">
        <f>IF(A89&gt;=60,INDEX($H$65:$H$155,A89-60+1),0)*(1-'02_Plan'!$B$31)*(1+'02_Plan'!$B$32)+IF(A89&lt;=$I$8,$H$8/($I$8+1),0)</f>
        <v>1.5333333333333334E-2</v>
      </c>
      <c r="Q89" s="19">
        <f t="shared" si="10"/>
        <v>0</v>
      </c>
      <c r="R89" s="19">
        <f t="shared" si="11"/>
        <v>2.7699756249999999E-2</v>
      </c>
      <c r="S89" s="19">
        <f>J89+IF(A89=INDEX($C$51:$E$51,D89),INDEX($C$44:$E$44,D89)*(1+'02_Plan'!$B$32),0)</f>
        <v>2.9278749999999999E-2</v>
      </c>
      <c r="T89" s="19">
        <f t="shared" si="12"/>
        <v>0</v>
      </c>
      <c r="U89" s="19">
        <f t="shared" si="13"/>
        <v>0</v>
      </c>
      <c r="V89" s="19">
        <f t="shared" si="14"/>
        <v>0</v>
      </c>
      <c r="W89" s="19">
        <f t="shared" si="15"/>
        <v>0</v>
      </c>
      <c r="X89" s="19">
        <f t="shared" si="16"/>
        <v>0</v>
      </c>
      <c r="Y89" s="19">
        <f>IF(A89=INDEX($C$50:$E$50,D89)+4,INDEX($C$46:$E$46,D89)*0.3*(1+'02_Plan'!$B$32),0)+IF(A89=INDEX($C$50:$E$50,D89)+9,INDEX($C$46:$E$46,D89)*0.7*(1+'02_Plan'!$B$32),0)</f>
        <v>0</v>
      </c>
      <c r="Z89" s="19">
        <f>IF(A89=INDEX($C$50:$E$50,D89)+14,INDEX($C$47:$E$47,D89)*(1+'02_Plan'!$B$32),0)</f>
        <v>0</v>
      </c>
      <c r="AA89" s="19">
        <f t="shared" si="17"/>
        <v>0</v>
      </c>
      <c r="AB89" s="19">
        <f t="shared" si="18"/>
        <v>0.10557368172222222</v>
      </c>
      <c r="AC89" s="19">
        <f t="shared" si="19"/>
        <v>0.10253406180555555</v>
      </c>
      <c r="AD89" s="19">
        <f t="shared" si="20"/>
        <v>3.0396199166666665E-3</v>
      </c>
    </row>
    <row r="90" spans="1:30" x14ac:dyDescent="0.35">
      <c r="A90" s="14">
        <v>25</v>
      </c>
      <c r="B90" s="30">
        <f t="shared" si="0"/>
        <v>46138</v>
      </c>
      <c r="C90" s="23">
        <f t="shared" si="1"/>
        <v>4</v>
      </c>
      <c r="D90" s="23">
        <f t="shared" si="2"/>
        <v>1</v>
      </c>
      <c r="E90" s="22">
        <f t="shared" si="3"/>
        <v>179.44444444444443</v>
      </c>
      <c r="F90" s="22">
        <f t="shared" si="4"/>
        <v>212.5</v>
      </c>
      <c r="G90" s="22">
        <f t="shared" si="5"/>
        <v>118.05555555555556</v>
      </c>
      <c r="H90" s="19">
        <f t="shared" si="6"/>
        <v>8.2472962962962984E-2</v>
      </c>
      <c r="I90" s="19">
        <f>(E90*$B$20+F90*$B$21+G90*$B$22)*(1+'02_Plan'!$B$32)/10000000</f>
        <v>1.0366422916666666E-2</v>
      </c>
      <c r="J90" s="19">
        <f>INDEX($C$43:$E$43,D90)/INDEX($C$49:$E$49,D90)*(1+'02_Plan'!$B$32)</f>
        <v>2.9278749999999999E-2</v>
      </c>
      <c r="K90" s="19">
        <f t="shared" si="7"/>
        <v>4.9865673111111106E-2</v>
      </c>
      <c r="L90" s="19">
        <f t="shared" si="8"/>
        <v>4.1930230833333332E-2</v>
      </c>
      <c r="M90" s="19">
        <f t="shared" si="9"/>
        <v>1.3777777777777778E-2</v>
      </c>
      <c r="N90" s="19">
        <f>IF(OR(A90=29,A90=60,A90=90),$B$34*'02_Plan'!$B$25/12,0)</f>
        <v>0</v>
      </c>
      <c r="O90" s="19">
        <f>IF(A90&gt;=$B$7,INDEX($H$65:$H$155,A90-$B$7+1),0)*'02_Plan'!$B$31*(1+'02_Plan'!$B$32)+IF(A90&lt;=$I$7,$H$7/($I$7+1),0)</f>
        <v>3.0222222222222223E-2</v>
      </c>
      <c r="P90" s="19">
        <f>IF(A90&gt;=60,INDEX($H$65:$H$155,A90-60+1),0)*(1-'02_Plan'!$B$31)*(1+'02_Plan'!$B$32)+IF(A90&lt;=$I$8,$H$8/($I$8+1),0)</f>
        <v>1.5333333333333334E-2</v>
      </c>
      <c r="Q90" s="19">
        <f t="shared" si="10"/>
        <v>0</v>
      </c>
      <c r="R90" s="19">
        <f t="shared" si="11"/>
        <v>2.7699756249999999E-2</v>
      </c>
      <c r="S90" s="19">
        <f>J90+IF(A90=INDEX($C$51:$E$51,D90),INDEX($C$44:$E$44,D90)*(1+'02_Plan'!$B$32),0)</f>
        <v>2.9278749999999999E-2</v>
      </c>
      <c r="T90" s="19">
        <f t="shared" si="12"/>
        <v>0</v>
      </c>
      <c r="U90" s="19">
        <f t="shared" si="13"/>
        <v>0</v>
      </c>
      <c r="V90" s="19">
        <f t="shared" si="14"/>
        <v>0</v>
      </c>
      <c r="W90" s="19">
        <f t="shared" si="15"/>
        <v>0</v>
      </c>
      <c r="X90" s="19">
        <f t="shared" si="16"/>
        <v>0</v>
      </c>
      <c r="Y90" s="19">
        <f>IF(A90=INDEX($C$50:$E$50,D90)+4,INDEX($C$46:$E$46,D90)*0.3*(1+'02_Plan'!$B$32),0)+IF(A90=INDEX($C$50:$E$50,D90)+9,INDEX($C$46:$E$46,D90)*0.7*(1+'02_Plan'!$B$32),0)</f>
        <v>0</v>
      </c>
      <c r="Z90" s="19">
        <f>IF(A90=INDEX($C$50:$E$50,D90)+14,INDEX($C$47:$E$47,D90)*(1+'02_Plan'!$B$32),0)</f>
        <v>0</v>
      </c>
      <c r="AA90" s="19">
        <f t="shared" si="17"/>
        <v>0</v>
      </c>
      <c r="AB90" s="19">
        <f t="shared" si="18"/>
        <v>0.10557368172222222</v>
      </c>
      <c r="AC90" s="19">
        <f t="shared" si="19"/>
        <v>0.10253406180555555</v>
      </c>
      <c r="AD90" s="19">
        <f t="shared" si="20"/>
        <v>3.0396199166666665E-3</v>
      </c>
    </row>
    <row r="91" spans="1:30" x14ac:dyDescent="0.35">
      <c r="A91" s="14">
        <v>26</v>
      </c>
      <c r="B91" s="30">
        <f t="shared" si="0"/>
        <v>46139</v>
      </c>
      <c r="C91" s="23">
        <f t="shared" si="1"/>
        <v>4</v>
      </c>
      <c r="D91" s="23">
        <f t="shared" si="2"/>
        <v>1</v>
      </c>
      <c r="E91" s="22">
        <f t="shared" si="3"/>
        <v>179.44444444444443</v>
      </c>
      <c r="F91" s="22">
        <f t="shared" si="4"/>
        <v>212.5</v>
      </c>
      <c r="G91" s="22">
        <f t="shared" si="5"/>
        <v>118.05555555555556</v>
      </c>
      <c r="H91" s="19">
        <f t="shared" si="6"/>
        <v>8.2472962962962984E-2</v>
      </c>
      <c r="I91" s="19">
        <f>(E91*$B$20+F91*$B$21+G91*$B$22)*(1+'02_Plan'!$B$32)/10000000</f>
        <v>1.0366422916666666E-2</v>
      </c>
      <c r="J91" s="19">
        <f>INDEX($C$43:$E$43,D91)/INDEX($C$49:$E$49,D91)*(1+'02_Plan'!$B$32)</f>
        <v>2.9278749999999999E-2</v>
      </c>
      <c r="K91" s="19">
        <f t="shared" si="7"/>
        <v>4.9865673111111106E-2</v>
      </c>
      <c r="L91" s="19">
        <f t="shared" si="8"/>
        <v>4.1930230833333332E-2</v>
      </c>
      <c r="M91" s="19">
        <f t="shared" si="9"/>
        <v>1.3777777777777778E-2</v>
      </c>
      <c r="N91" s="19">
        <f>IF(OR(A91=29,A91=60,A91=90),$B$34*'02_Plan'!$B$25/12,0)</f>
        <v>0</v>
      </c>
      <c r="O91" s="19">
        <f>IF(A91&gt;=$B$7,INDEX($H$65:$H$155,A91-$B$7+1),0)*'02_Plan'!$B$31*(1+'02_Plan'!$B$32)+IF(A91&lt;=$I$7,$H$7/($I$7+1),0)</f>
        <v>3.0222222222222223E-2</v>
      </c>
      <c r="P91" s="19">
        <f>IF(A91&gt;=60,INDEX($H$65:$H$155,A91-60+1),0)*(1-'02_Plan'!$B$31)*(1+'02_Plan'!$B$32)+IF(A91&lt;=$I$8,$H$8/($I$8+1),0)</f>
        <v>1.5333333333333334E-2</v>
      </c>
      <c r="Q91" s="19">
        <f t="shared" si="10"/>
        <v>0</v>
      </c>
      <c r="R91" s="19">
        <f t="shared" si="11"/>
        <v>2.7699756249999999E-2</v>
      </c>
      <c r="S91" s="19">
        <f>J91+IF(A91=INDEX($C$51:$E$51,D91),INDEX($C$44:$E$44,D91)*(1+'02_Plan'!$B$32),0)</f>
        <v>2.9278749999999999E-2</v>
      </c>
      <c r="T91" s="19">
        <f t="shared" si="12"/>
        <v>0</v>
      </c>
      <c r="U91" s="19">
        <f t="shared" si="13"/>
        <v>0</v>
      </c>
      <c r="V91" s="19">
        <f t="shared" si="14"/>
        <v>0</v>
      </c>
      <c r="W91" s="19">
        <f t="shared" si="15"/>
        <v>0</v>
      </c>
      <c r="X91" s="19">
        <f t="shared" si="16"/>
        <v>0</v>
      </c>
      <c r="Y91" s="19">
        <f>IF(A91=INDEX($C$50:$E$50,D91)+4,INDEX($C$46:$E$46,D91)*0.3*(1+'02_Plan'!$B$32),0)+IF(A91=INDEX($C$50:$E$50,D91)+9,INDEX($C$46:$E$46,D91)*0.7*(1+'02_Plan'!$B$32),0)</f>
        <v>0</v>
      </c>
      <c r="Z91" s="19">
        <f>IF(A91=INDEX($C$50:$E$50,D91)+14,INDEX($C$47:$E$47,D91)*(1+'02_Plan'!$B$32),0)</f>
        <v>0</v>
      </c>
      <c r="AA91" s="19">
        <f t="shared" si="17"/>
        <v>0</v>
      </c>
      <c r="AB91" s="19">
        <f t="shared" si="18"/>
        <v>0.10557368172222222</v>
      </c>
      <c r="AC91" s="19">
        <f t="shared" si="19"/>
        <v>0.10253406180555555</v>
      </c>
      <c r="AD91" s="19">
        <f t="shared" si="20"/>
        <v>3.0396199166666665E-3</v>
      </c>
    </row>
    <row r="92" spans="1:30" x14ac:dyDescent="0.35">
      <c r="A92" s="14">
        <v>27</v>
      </c>
      <c r="B92" s="30">
        <f t="shared" si="0"/>
        <v>46140</v>
      </c>
      <c r="C92" s="23">
        <f t="shared" si="1"/>
        <v>4</v>
      </c>
      <c r="D92" s="23">
        <f t="shared" si="2"/>
        <v>1</v>
      </c>
      <c r="E92" s="22">
        <f t="shared" si="3"/>
        <v>179.44444444444443</v>
      </c>
      <c r="F92" s="22">
        <f t="shared" si="4"/>
        <v>212.5</v>
      </c>
      <c r="G92" s="22">
        <f t="shared" si="5"/>
        <v>118.05555555555556</v>
      </c>
      <c r="H92" s="19">
        <f t="shared" si="6"/>
        <v>8.2472962962962984E-2</v>
      </c>
      <c r="I92" s="19">
        <f>(E92*$B$20+F92*$B$21+G92*$B$22)*(1+'02_Plan'!$B$32)/10000000</f>
        <v>1.0366422916666666E-2</v>
      </c>
      <c r="J92" s="19">
        <f>INDEX($C$43:$E$43,D92)/INDEX($C$49:$E$49,D92)*(1+'02_Plan'!$B$32)</f>
        <v>2.9278749999999999E-2</v>
      </c>
      <c r="K92" s="19">
        <f t="shared" si="7"/>
        <v>4.9865673111111106E-2</v>
      </c>
      <c r="L92" s="19">
        <f t="shared" si="8"/>
        <v>4.1930230833333332E-2</v>
      </c>
      <c r="M92" s="19">
        <f t="shared" si="9"/>
        <v>1.3777777777777778E-2</v>
      </c>
      <c r="N92" s="19">
        <f>IF(OR(A92=29,A92=60,A92=90),$B$34*'02_Plan'!$B$25/12,0)</f>
        <v>0</v>
      </c>
      <c r="O92" s="19">
        <f>IF(A92&gt;=$B$7,INDEX($H$65:$H$155,A92-$B$7+1),0)*'02_Plan'!$B$31*(1+'02_Plan'!$B$32)+IF(A92&lt;=$I$7,$H$7/($I$7+1),0)</f>
        <v>3.0222222222222223E-2</v>
      </c>
      <c r="P92" s="19">
        <f>IF(A92&gt;=60,INDEX($H$65:$H$155,A92-60+1),0)*(1-'02_Plan'!$B$31)*(1+'02_Plan'!$B$32)+IF(A92&lt;=$I$8,$H$8/($I$8+1),0)</f>
        <v>1.5333333333333334E-2</v>
      </c>
      <c r="Q92" s="19">
        <f t="shared" si="10"/>
        <v>0</v>
      </c>
      <c r="R92" s="19">
        <f t="shared" si="11"/>
        <v>2.7699756249999999E-2</v>
      </c>
      <c r="S92" s="19">
        <f>J92+IF(A92=INDEX($C$51:$E$51,D92),INDEX($C$44:$E$44,D92)*(1+'02_Plan'!$B$32),0)</f>
        <v>2.9278749999999999E-2</v>
      </c>
      <c r="T92" s="19">
        <f t="shared" si="12"/>
        <v>0</v>
      </c>
      <c r="U92" s="19">
        <f t="shared" si="13"/>
        <v>0</v>
      </c>
      <c r="V92" s="19">
        <f t="shared" si="14"/>
        <v>0</v>
      </c>
      <c r="W92" s="19">
        <f t="shared" si="15"/>
        <v>0</v>
      </c>
      <c r="X92" s="19">
        <f t="shared" si="16"/>
        <v>0</v>
      </c>
      <c r="Y92" s="19">
        <f>IF(A92=INDEX($C$50:$E$50,D92)+4,INDEX($C$46:$E$46,D92)*0.3*(1+'02_Plan'!$B$32),0)+IF(A92=INDEX($C$50:$E$50,D92)+9,INDEX($C$46:$E$46,D92)*0.7*(1+'02_Plan'!$B$32),0)</f>
        <v>0</v>
      </c>
      <c r="Z92" s="19">
        <f>IF(A92=INDEX($C$50:$E$50,D92)+14,INDEX($C$47:$E$47,D92)*(1+'02_Plan'!$B$32),0)</f>
        <v>0</v>
      </c>
      <c r="AA92" s="19">
        <f t="shared" si="17"/>
        <v>0</v>
      </c>
      <c r="AB92" s="19">
        <f t="shared" si="18"/>
        <v>0.10557368172222222</v>
      </c>
      <c r="AC92" s="19">
        <f t="shared" si="19"/>
        <v>0.10253406180555555</v>
      </c>
      <c r="AD92" s="19">
        <f t="shared" si="20"/>
        <v>3.0396199166666665E-3</v>
      </c>
    </row>
    <row r="93" spans="1:30" x14ac:dyDescent="0.35">
      <c r="A93" s="14">
        <v>28</v>
      </c>
      <c r="B93" s="30">
        <f t="shared" si="0"/>
        <v>46141</v>
      </c>
      <c r="C93" s="23">
        <f t="shared" si="1"/>
        <v>5</v>
      </c>
      <c r="D93" s="23">
        <f t="shared" si="2"/>
        <v>1</v>
      </c>
      <c r="E93" s="22">
        <f t="shared" si="3"/>
        <v>179.44444444444443</v>
      </c>
      <c r="F93" s="22">
        <f t="shared" si="4"/>
        <v>212.5</v>
      </c>
      <c r="G93" s="22">
        <f t="shared" si="5"/>
        <v>118.05555555555556</v>
      </c>
      <c r="H93" s="19">
        <f t="shared" si="6"/>
        <v>8.2472962962962984E-2</v>
      </c>
      <c r="I93" s="19">
        <f>(E93*$B$20+F93*$B$21+G93*$B$22)*(1+'02_Plan'!$B$32)/10000000</f>
        <v>1.0366422916666666E-2</v>
      </c>
      <c r="J93" s="19">
        <f>INDEX($C$43:$E$43,D93)/INDEX($C$49:$E$49,D93)*(1+'02_Plan'!$B$32)</f>
        <v>2.9278749999999999E-2</v>
      </c>
      <c r="K93" s="19">
        <f t="shared" si="7"/>
        <v>4.9865673111111106E-2</v>
      </c>
      <c r="L93" s="19">
        <f t="shared" si="8"/>
        <v>4.1930230833333332E-2</v>
      </c>
      <c r="M93" s="19">
        <f t="shared" si="9"/>
        <v>1.3777777777777778E-2</v>
      </c>
      <c r="N93" s="19">
        <f>IF(OR(A93=29,A93=60,A93=90),$B$34*'02_Plan'!$B$25/12,0)</f>
        <v>0</v>
      </c>
      <c r="O93" s="19">
        <f>IF(A93&gt;=$B$7,INDEX($H$65:$H$155,A93-$B$7+1),0)*'02_Plan'!$B$31*(1+'02_Plan'!$B$32)+IF(A93&lt;=$I$7,$H$7/($I$7+1),0)</f>
        <v>3.0222222222222223E-2</v>
      </c>
      <c r="P93" s="19">
        <f>IF(A93&gt;=60,INDEX($H$65:$H$155,A93-60+1),0)*(1-'02_Plan'!$B$31)*(1+'02_Plan'!$B$32)+IF(A93&lt;=$I$8,$H$8/($I$8+1),0)</f>
        <v>1.5333333333333334E-2</v>
      </c>
      <c r="Q93" s="19">
        <f t="shared" si="10"/>
        <v>0</v>
      </c>
      <c r="R93" s="19">
        <f t="shared" si="11"/>
        <v>2.7699756249999999E-2</v>
      </c>
      <c r="S93" s="19">
        <f>J93+IF(A93=INDEX($C$51:$E$51,D93),INDEX($C$44:$E$44,D93)*(1+'02_Plan'!$B$32),0)</f>
        <v>2.9278749999999999E-2</v>
      </c>
      <c r="T93" s="19">
        <f t="shared" si="12"/>
        <v>0</v>
      </c>
      <c r="U93" s="19">
        <f t="shared" si="13"/>
        <v>0</v>
      </c>
      <c r="V93" s="19">
        <f t="shared" si="14"/>
        <v>0</v>
      </c>
      <c r="W93" s="19">
        <f t="shared" si="15"/>
        <v>0</v>
      </c>
      <c r="X93" s="19">
        <f t="shared" si="16"/>
        <v>0</v>
      </c>
      <c r="Y93" s="19">
        <f>IF(A93=INDEX($C$50:$E$50,D93)+4,INDEX($C$46:$E$46,D93)*0.3*(1+'02_Plan'!$B$32),0)+IF(A93=INDEX($C$50:$E$50,D93)+9,INDEX($C$46:$E$46,D93)*0.7*(1+'02_Plan'!$B$32),0)</f>
        <v>0</v>
      </c>
      <c r="Z93" s="19">
        <f>IF(A93=INDEX($C$50:$E$50,D93)+14,INDEX($C$47:$E$47,D93)*(1+'02_Plan'!$B$32),0)</f>
        <v>0</v>
      </c>
      <c r="AA93" s="19">
        <f t="shared" si="17"/>
        <v>0</v>
      </c>
      <c r="AB93" s="19">
        <f t="shared" si="18"/>
        <v>0.10557368172222222</v>
      </c>
      <c r="AC93" s="19">
        <f t="shared" si="19"/>
        <v>0.10253406180555555</v>
      </c>
      <c r="AD93" s="19">
        <f t="shared" si="20"/>
        <v>3.0396199166666665E-3</v>
      </c>
    </row>
    <row r="94" spans="1:30" x14ac:dyDescent="0.35">
      <c r="A94" s="14">
        <v>29</v>
      </c>
      <c r="B94" s="30">
        <f t="shared" si="0"/>
        <v>46142</v>
      </c>
      <c r="C94" s="23">
        <f t="shared" si="1"/>
        <v>5</v>
      </c>
      <c r="D94" s="23">
        <f t="shared" si="2"/>
        <v>1</v>
      </c>
      <c r="E94" s="22">
        <f t="shared" si="3"/>
        <v>179.44444444444443</v>
      </c>
      <c r="F94" s="22">
        <f t="shared" si="4"/>
        <v>212.5</v>
      </c>
      <c r="G94" s="22">
        <f t="shared" si="5"/>
        <v>118.05555555555556</v>
      </c>
      <c r="H94" s="19">
        <f t="shared" si="6"/>
        <v>8.2472962962962984E-2</v>
      </c>
      <c r="I94" s="19">
        <f>(E94*$B$20+F94*$B$21+G94*$B$22)*(1+'02_Plan'!$B$32)/10000000</f>
        <v>1.0366422916666666E-2</v>
      </c>
      <c r="J94" s="19">
        <f>INDEX($C$43:$E$43,D94)/INDEX($C$49:$E$49,D94)*(1+'02_Plan'!$B$32)</f>
        <v>2.9278749999999999E-2</v>
      </c>
      <c r="K94" s="19">
        <f t="shared" si="7"/>
        <v>4.9865673111111106E-2</v>
      </c>
      <c r="L94" s="19">
        <f t="shared" si="8"/>
        <v>4.1930230833333332E-2</v>
      </c>
      <c r="M94" s="19">
        <f t="shared" si="9"/>
        <v>1.3777777777777778E-2</v>
      </c>
      <c r="N94" s="19">
        <f>IF(OR(A94=29,A94=60,A94=90),$B$34*'02_Plan'!$B$25/12,0)</f>
        <v>4.9999999999999996E-2</v>
      </c>
      <c r="O94" s="19">
        <f>IF(A94&gt;=$B$7,INDEX($H$65:$H$155,A94-$B$7+1),0)*'02_Plan'!$B$31*(1+'02_Plan'!$B$32)+IF(A94&lt;=$I$7,$H$7/($I$7+1),0)</f>
        <v>3.0222222222222223E-2</v>
      </c>
      <c r="P94" s="19">
        <f>IF(A94&gt;=60,INDEX($H$65:$H$155,A94-60+1),0)*(1-'02_Plan'!$B$31)*(1+'02_Plan'!$B$32)+IF(A94&lt;=$I$8,$H$8/($I$8+1),0)</f>
        <v>1.5333333333333334E-2</v>
      </c>
      <c r="Q94" s="19">
        <f t="shared" si="10"/>
        <v>0</v>
      </c>
      <c r="R94" s="19">
        <f t="shared" si="11"/>
        <v>2.7699756249999999E-2</v>
      </c>
      <c r="S94" s="19">
        <f>J94+IF(A94=INDEX($C$51:$E$51,D94),INDEX($C$44:$E$44,D94)*(1+'02_Plan'!$B$32),0)</f>
        <v>0.17087874999999997</v>
      </c>
      <c r="T94" s="19">
        <f t="shared" si="12"/>
        <v>0.39100000000000001</v>
      </c>
      <c r="U94" s="19">
        <f t="shared" si="13"/>
        <v>0</v>
      </c>
      <c r="V94" s="19">
        <f t="shared" si="14"/>
        <v>5.7000000000000002E-2</v>
      </c>
      <c r="W94" s="19">
        <f t="shared" si="15"/>
        <v>0</v>
      </c>
      <c r="X94" s="19">
        <f t="shared" si="16"/>
        <v>0</v>
      </c>
      <c r="Y94" s="19">
        <f>IF(A94=INDEX($C$50:$E$50,D94)+4,INDEX($C$46:$E$46,D94)*0.3*(1+'02_Plan'!$B$32),0)+IF(A94=INDEX($C$50:$E$50,D94)+9,INDEX($C$46:$E$46,D94)*0.7*(1+'02_Plan'!$B$32),0)</f>
        <v>0</v>
      </c>
      <c r="Z94" s="19">
        <f>IF(A94=INDEX($C$50:$E$50,D94)+14,INDEX($C$47:$E$47,D94)*(1+'02_Plan'!$B$32),0)</f>
        <v>0</v>
      </c>
      <c r="AA94" s="19">
        <f t="shared" si="17"/>
        <v>0</v>
      </c>
      <c r="AB94" s="19">
        <f t="shared" si="18"/>
        <v>0.15557368172222222</v>
      </c>
      <c r="AC94" s="19">
        <f t="shared" si="19"/>
        <v>0.69213406180555559</v>
      </c>
      <c r="AD94" s="19">
        <f t="shared" si="20"/>
        <v>-0.5365603800833334</v>
      </c>
    </row>
    <row r="95" spans="1:30" x14ac:dyDescent="0.35">
      <c r="A95" s="14">
        <v>30</v>
      </c>
      <c r="B95" s="30">
        <f t="shared" si="0"/>
        <v>46143</v>
      </c>
      <c r="C95" s="23">
        <f t="shared" si="1"/>
        <v>5</v>
      </c>
      <c r="D95" s="23">
        <f t="shared" si="2"/>
        <v>2</v>
      </c>
      <c r="E95" s="22">
        <f t="shared" si="3"/>
        <v>173.65591397849462</v>
      </c>
      <c r="F95" s="22">
        <f t="shared" si="4"/>
        <v>205.64516129032259</v>
      </c>
      <c r="G95" s="22">
        <f t="shared" si="5"/>
        <v>114.24731182795698</v>
      </c>
      <c r="H95" s="19">
        <f t="shared" si="6"/>
        <v>5.6984587813620043E-2</v>
      </c>
      <c r="I95" s="19">
        <f>(E95*$B$20+F95*$B$21+G95*$B$22)*(1+'02_Plan'!$B$32)/10000000</f>
        <v>1.0032022177419357E-2</v>
      </c>
      <c r="J95" s="19">
        <f>INDEX($C$43:$E$43,D95)/INDEX($C$49:$E$49,D95)*(1+'02_Plan'!$B$32)</f>
        <v>2.8334274193548389E-2</v>
      </c>
      <c r="K95" s="19">
        <f t="shared" si="7"/>
        <v>4.9865673111111106E-2</v>
      </c>
      <c r="L95" s="19">
        <f t="shared" si="8"/>
        <v>4.1930230833333332E-2</v>
      </c>
      <c r="M95" s="19">
        <f t="shared" si="9"/>
        <v>1.3777777777777778E-2</v>
      </c>
      <c r="N95" s="19">
        <f>IF(OR(A95=29,A95=60,A95=90),$B$34*'02_Plan'!$B$25/12,0)</f>
        <v>0</v>
      </c>
      <c r="O95" s="19">
        <f>IF(A95&gt;=$B$7,INDEX($H$65:$H$155,A95-$B$7+1),0)*'02_Plan'!$B$31*(1+'02_Plan'!$B$32)+IF(A95&lt;=$I$7,$H$7/($I$7+1),0)</f>
        <v>3.0222222222222223E-2</v>
      </c>
      <c r="P95" s="19">
        <f>IF(A95&gt;=60,INDEX($H$65:$H$155,A95-60+1),0)*(1-'02_Plan'!$B$31)*(1+'02_Plan'!$B$32)+IF(A95&lt;=$I$8,$H$8/($I$8+1),0)</f>
        <v>1.5333333333333334E-2</v>
      </c>
      <c r="Q95" s="19">
        <f t="shared" si="10"/>
        <v>0</v>
      </c>
      <c r="R95" s="19">
        <f t="shared" si="11"/>
        <v>1.0366422916666666E-2</v>
      </c>
      <c r="S95" s="19">
        <f>J95+IF(A95=INDEX($C$51:$E$51,D95),INDEX($C$44:$E$44,D95)*(1+'02_Plan'!$B$32),0)</f>
        <v>2.8334274193548389E-2</v>
      </c>
      <c r="T95" s="19">
        <f t="shared" si="12"/>
        <v>0</v>
      </c>
      <c r="U95" s="19">
        <f t="shared" si="13"/>
        <v>0</v>
      </c>
      <c r="V95" s="19">
        <f t="shared" si="14"/>
        <v>0</v>
      </c>
      <c r="W95" s="19">
        <f t="shared" si="15"/>
        <v>0</v>
      </c>
      <c r="X95" s="19">
        <f t="shared" si="16"/>
        <v>0</v>
      </c>
      <c r="Y95" s="19">
        <f>IF(A95=INDEX($C$50:$E$50,D95)+4,INDEX($C$46:$E$46,D95)*0.3*(1+'02_Plan'!$B$32),0)+IF(A95=INDEX($C$50:$E$50,D95)+9,INDEX($C$46:$E$46,D95)*0.7*(1+'02_Plan'!$B$32),0)</f>
        <v>0</v>
      </c>
      <c r="Z95" s="19">
        <f>IF(A95=INDEX($C$50:$E$50,D95)+14,INDEX($C$47:$E$47,D95)*(1+'02_Plan'!$B$32),0)</f>
        <v>0</v>
      </c>
      <c r="AA95" s="19">
        <f t="shared" si="17"/>
        <v>0</v>
      </c>
      <c r="AB95" s="19">
        <f t="shared" si="18"/>
        <v>0.10557368172222222</v>
      </c>
      <c r="AC95" s="19">
        <f t="shared" si="19"/>
        <v>8.4256252665770609E-2</v>
      </c>
      <c r="AD95" s="19">
        <f t="shared" si="20"/>
        <v>2.1317429056451606E-2</v>
      </c>
    </row>
    <row r="96" spans="1:30" x14ac:dyDescent="0.35">
      <c r="A96" s="14">
        <v>31</v>
      </c>
      <c r="B96" s="30">
        <f t="shared" si="0"/>
        <v>46144</v>
      </c>
      <c r="C96" s="23">
        <f t="shared" si="1"/>
        <v>5</v>
      </c>
      <c r="D96" s="23">
        <f t="shared" si="2"/>
        <v>2</v>
      </c>
      <c r="E96" s="22">
        <f t="shared" si="3"/>
        <v>173.65591397849462</v>
      </c>
      <c r="F96" s="22">
        <f t="shared" si="4"/>
        <v>205.64516129032259</v>
      </c>
      <c r="G96" s="22">
        <f t="shared" si="5"/>
        <v>114.24731182795698</v>
      </c>
      <c r="H96" s="19">
        <f t="shared" si="6"/>
        <v>5.6984587813620043E-2</v>
      </c>
      <c r="I96" s="19">
        <f>(E96*$B$20+F96*$B$21+G96*$B$22)*(1+'02_Plan'!$B$32)/10000000</f>
        <v>1.0032022177419357E-2</v>
      </c>
      <c r="J96" s="19">
        <f>INDEX($C$43:$E$43,D96)/INDEX($C$49:$E$49,D96)*(1+'02_Plan'!$B$32)</f>
        <v>2.8334274193548389E-2</v>
      </c>
      <c r="K96" s="19">
        <f t="shared" si="7"/>
        <v>4.9865673111111106E-2</v>
      </c>
      <c r="L96" s="19">
        <f t="shared" si="8"/>
        <v>4.1930230833333332E-2</v>
      </c>
      <c r="M96" s="19">
        <f t="shared" si="9"/>
        <v>1.3777777777777778E-2</v>
      </c>
      <c r="N96" s="19">
        <f>IF(OR(A96=29,A96=60,A96=90),$B$34*'02_Plan'!$B$25/12,0)</f>
        <v>0</v>
      </c>
      <c r="O96" s="19">
        <f>IF(A96&gt;=$B$7,INDEX($H$65:$H$155,A96-$B$7+1),0)*'02_Plan'!$B$31*(1+'02_Plan'!$B$32)+IF(A96&lt;=$I$7,$H$7/($I$7+1),0)</f>
        <v>3.0222222222222223E-2</v>
      </c>
      <c r="P96" s="19">
        <f>IF(A96&gt;=60,INDEX($H$65:$H$155,A96-60+1),0)*(1-'02_Plan'!$B$31)*(1+'02_Plan'!$B$32)+IF(A96&lt;=$I$8,$H$8/($I$8+1),0)</f>
        <v>1.5333333333333334E-2</v>
      </c>
      <c r="Q96" s="19">
        <f t="shared" si="10"/>
        <v>0</v>
      </c>
      <c r="R96" s="19">
        <f t="shared" si="11"/>
        <v>1.0366422916666666E-2</v>
      </c>
      <c r="S96" s="19">
        <f>J96+IF(A96=INDEX($C$51:$E$51,D96),INDEX($C$44:$E$44,D96)*(1+'02_Plan'!$B$32),0)</f>
        <v>2.8334274193548389E-2</v>
      </c>
      <c r="T96" s="19">
        <f t="shared" si="12"/>
        <v>0</v>
      </c>
      <c r="U96" s="19">
        <f t="shared" si="13"/>
        <v>0</v>
      </c>
      <c r="V96" s="19">
        <f t="shared" si="14"/>
        <v>0</v>
      </c>
      <c r="W96" s="19">
        <f t="shared" si="15"/>
        <v>0</v>
      </c>
      <c r="X96" s="19">
        <f t="shared" si="16"/>
        <v>0</v>
      </c>
      <c r="Y96" s="19">
        <f>IF(A96=INDEX($C$50:$E$50,D96)+4,INDEX($C$46:$E$46,D96)*0.3*(1+'02_Plan'!$B$32),0)+IF(A96=INDEX($C$50:$E$50,D96)+9,INDEX($C$46:$E$46,D96)*0.7*(1+'02_Plan'!$B$32),0)</f>
        <v>0</v>
      </c>
      <c r="Z96" s="19">
        <f>IF(A96=INDEX($C$50:$E$50,D96)+14,INDEX($C$47:$E$47,D96)*(1+'02_Plan'!$B$32),0)</f>
        <v>0</v>
      </c>
      <c r="AA96" s="19">
        <f t="shared" si="17"/>
        <v>0</v>
      </c>
      <c r="AB96" s="19">
        <f t="shared" si="18"/>
        <v>0.10557368172222222</v>
      </c>
      <c r="AC96" s="19">
        <f t="shared" si="19"/>
        <v>8.4256252665770609E-2</v>
      </c>
      <c r="AD96" s="19">
        <f t="shared" si="20"/>
        <v>2.1317429056451606E-2</v>
      </c>
    </row>
    <row r="97" spans="1:30" x14ac:dyDescent="0.35">
      <c r="A97" s="14">
        <v>32</v>
      </c>
      <c r="B97" s="30">
        <f t="shared" ref="B97:B128" si="21">DATE(2026,4,1)+A97</f>
        <v>46145</v>
      </c>
      <c r="C97" s="23">
        <f t="shared" ref="C97:C128" si="22">INT(A97/7)+1</f>
        <v>5</v>
      </c>
      <c r="D97" s="23">
        <f t="shared" ref="D97:D128" si="23">IF(A97&lt;30,1,IF(A97&lt;61,2,3))</f>
        <v>2</v>
      </c>
      <c r="E97" s="22">
        <f t="shared" ref="E97:E128" si="24">INDEX($C$39:$E$39,D97)/INDEX($C$49:$E$49,D97)</f>
        <v>173.65591397849462</v>
      </c>
      <c r="F97" s="22">
        <f t="shared" ref="F97:F128" si="25">INDEX($C$40:$E$40,D97)/INDEX($C$49:$E$49,D97)</f>
        <v>205.64516129032259</v>
      </c>
      <c r="G97" s="22">
        <f t="shared" ref="G97:G128" si="26">INDEX($C$41:$E$41,D97)/INDEX($C$49:$E$49,D97)</f>
        <v>114.24731182795698</v>
      </c>
      <c r="H97" s="19">
        <f t="shared" ref="H97:H128" si="27">INDEX($C$42:$E$42,D97)/INDEX($C$49:$E$49,D97)</f>
        <v>5.6984587813620043E-2</v>
      </c>
      <c r="I97" s="19">
        <f>(E97*$B$20+F97*$B$21+G97*$B$22)*(1+'02_Plan'!$B$32)/10000000</f>
        <v>1.0032022177419357E-2</v>
      </c>
      <c r="J97" s="19">
        <f>INDEX($C$43:$E$43,D97)/INDEX($C$49:$E$49,D97)*(1+'02_Plan'!$B$32)</f>
        <v>2.8334274193548389E-2</v>
      </c>
      <c r="K97" s="19">
        <f t="shared" ref="K97:K128" si="28">0.6*$B$16*IF(A97&gt;=5,INDEX($E$65:$E$155,A97-5+1),0)/10000000+0.4*$B$16*IF(A97&gt;=10,INDEX($E$65:$E$155,A97-10+1),0)/10000000+IF(A97&lt;=$I$4,$H$4/($I$4+1),0)</f>
        <v>4.9865673111111106E-2</v>
      </c>
      <c r="L97" s="19">
        <f t="shared" ref="L97:L128" si="29">IF($B$5=1,F97*$B$18/10000000+IF(A97=0,$H$5,0),IF(A97&gt;=$B$4,INDEX($F$65:$F$155,A97-$B$4+1),0)*$B$17/10000000+IF(A97&lt;=$I$5,$H$5/($I$5+1),0))</f>
        <v>4.1930230833333332E-2</v>
      </c>
      <c r="M97" s="19">
        <f t="shared" ref="M97:M128" si="30">IF(A97&gt;=$B$6,INDEX($G$65:$G$155,A97-$B$6+1),0)*$B$19/10000000+IF(A97&lt;=$I$6,$H$6/($I$6+1),0)</f>
        <v>1.3777777777777778E-2</v>
      </c>
      <c r="N97" s="19">
        <f>IF(OR(A97=29,A97=60,A97=90),$B$34*'02_Plan'!$B$25/12,0)</f>
        <v>0</v>
      </c>
      <c r="O97" s="19">
        <f>IF(A97&gt;=$B$7,INDEX($H$65:$H$155,A97-$B$7+1),0)*'02_Plan'!$B$31*(1+'02_Plan'!$B$32)+IF(A97&lt;=$I$7,$H$7/($I$7+1),0)</f>
        <v>3.0222222222222223E-2</v>
      </c>
      <c r="P97" s="19">
        <f>IF(A97&gt;=60,INDEX($H$65:$H$155,A97-60+1),0)*(1-'02_Plan'!$B$31)*(1+'02_Plan'!$B$32)+IF(A97&lt;=$I$8,$H$8/($I$8+1),0)</f>
        <v>1.5333333333333334E-2</v>
      </c>
      <c r="Q97" s="19">
        <f t="shared" ref="Q97:Q128" si="31">IF(AND($B$8&gt;0,A97=($B$8-1)*7),$H$10+$B$62,0)</f>
        <v>0</v>
      </c>
      <c r="R97" s="19">
        <f t="shared" ref="R97:R128" si="32">IF(A97&gt;=15,INDEX($I$65:$I$155,A97-15+1),0)+IF(A97&lt;=$I$9,$H$9/($I$9+1),0)</f>
        <v>1.0366422916666666E-2</v>
      </c>
      <c r="S97" s="19">
        <f>J97+IF(A97=INDEX($C$51:$E$51,D97),INDEX($C$44:$E$44,D97)*(1+'02_Plan'!$B$32),0)</f>
        <v>2.8334274193548389E-2</v>
      </c>
      <c r="T97" s="19">
        <f t="shared" ref="T97:T128" si="33">IF(A97=INDEX($C$51:$E$51,D97),INDEX($C$45:$E$45,D97)*$B$24,0)</f>
        <v>0</v>
      </c>
      <c r="U97" s="19">
        <f t="shared" ref="U97:U128" si="34">$B$10*(IF(A97=19,$B$33,0)+IF(A97=49,$C$61,0)+IF(A97=80,$D$61,0))</f>
        <v>0</v>
      </c>
      <c r="V97" s="19">
        <f t="shared" ref="V97:V128" si="35">$B$10*(IF(A97=29,$B$29,0)+IF(A97=36,$C$45*$B$25,0)+IF(A97=67,$D$45*$B$25,0))</f>
        <v>0</v>
      </c>
      <c r="W97" s="19">
        <f t="shared" ref="W97:W128" si="36">$B$10*(IF(A97=14,$B$30+$B$31,0)+IF(A97=44,$C$45*($B$26+$B$27),0)+IF(A97=75,$D$45*($B$26+$B$27),0))</f>
        <v>0</v>
      </c>
      <c r="X97" s="19">
        <f t="shared" ref="X97:X128" si="37">$B$10*(IF(A97=19,$B$32,0)+IF(A97=49,$C$45*$B$28,0)+IF(A97=80,$D$45*$B$28,0))</f>
        <v>0</v>
      </c>
      <c r="Y97" s="19">
        <f>IF(A97=INDEX($C$50:$E$50,D97)+4,INDEX($C$46:$E$46,D97)*0.3*(1+'02_Plan'!$B$32),0)+IF(A97=INDEX($C$50:$E$50,D97)+9,INDEX($C$46:$E$46,D97)*0.7*(1+'02_Plan'!$B$32),0)</f>
        <v>0</v>
      </c>
      <c r="Z97" s="19">
        <f>IF(A97=INDEX($C$50:$E$50,D97)+14,INDEX($C$47:$E$47,D97)*(1+'02_Plan'!$B$32),0)</f>
        <v>0</v>
      </c>
      <c r="AA97" s="19">
        <f t="shared" ref="AA97:AA128" si="38">IF(AND($B$11&gt;0,A97=($B$11-1)*7+1),$B$12,0)</f>
        <v>0</v>
      </c>
      <c r="AB97" s="19">
        <f t="shared" ref="AB97:AB128" si="39">SUM(K97:N97)</f>
        <v>0.10557368172222222</v>
      </c>
      <c r="AC97" s="19">
        <f t="shared" ref="AC97:AC128" si="40">SUM(O97:AA97)</f>
        <v>8.4256252665770609E-2</v>
      </c>
      <c r="AD97" s="19">
        <f t="shared" ref="AD97:AD128" si="41">AB97-AC97</f>
        <v>2.1317429056451606E-2</v>
      </c>
    </row>
    <row r="98" spans="1:30" x14ac:dyDescent="0.35">
      <c r="A98" s="14">
        <v>33</v>
      </c>
      <c r="B98" s="30">
        <f t="shared" si="21"/>
        <v>46146</v>
      </c>
      <c r="C98" s="23">
        <f t="shared" si="22"/>
        <v>5</v>
      </c>
      <c r="D98" s="23">
        <f t="shared" si="23"/>
        <v>2</v>
      </c>
      <c r="E98" s="22">
        <f t="shared" si="24"/>
        <v>173.65591397849462</v>
      </c>
      <c r="F98" s="22">
        <f t="shared" si="25"/>
        <v>205.64516129032259</v>
      </c>
      <c r="G98" s="22">
        <f t="shared" si="26"/>
        <v>114.24731182795698</v>
      </c>
      <c r="H98" s="19">
        <f t="shared" si="27"/>
        <v>5.6984587813620043E-2</v>
      </c>
      <c r="I98" s="19">
        <f>(E98*$B$20+F98*$B$21+G98*$B$22)*(1+'02_Plan'!$B$32)/10000000</f>
        <v>1.0032022177419357E-2</v>
      </c>
      <c r="J98" s="19">
        <f>INDEX($C$43:$E$43,D98)/INDEX($C$49:$E$49,D98)*(1+'02_Plan'!$B$32)</f>
        <v>2.8334274193548389E-2</v>
      </c>
      <c r="K98" s="19">
        <f t="shared" si="28"/>
        <v>4.9865673111111106E-2</v>
      </c>
      <c r="L98" s="19">
        <f t="shared" si="29"/>
        <v>4.1930230833333332E-2</v>
      </c>
      <c r="M98" s="19">
        <f t="shared" si="30"/>
        <v>1.3777777777777778E-2</v>
      </c>
      <c r="N98" s="19">
        <f>IF(OR(A98=29,A98=60,A98=90),$B$34*'02_Plan'!$B$25/12,0)</f>
        <v>0</v>
      </c>
      <c r="O98" s="19">
        <f>IF(A98&gt;=$B$7,INDEX($H$65:$H$155,A98-$B$7+1),0)*'02_Plan'!$B$31*(1+'02_Plan'!$B$32)+IF(A98&lt;=$I$7,$H$7/($I$7+1),0)</f>
        <v>3.0222222222222223E-2</v>
      </c>
      <c r="P98" s="19">
        <f>IF(A98&gt;=60,INDEX($H$65:$H$155,A98-60+1),0)*(1-'02_Plan'!$B$31)*(1+'02_Plan'!$B$32)+IF(A98&lt;=$I$8,$H$8/($I$8+1),0)</f>
        <v>1.5333333333333334E-2</v>
      </c>
      <c r="Q98" s="19">
        <f t="shared" si="31"/>
        <v>0</v>
      </c>
      <c r="R98" s="19">
        <f t="shared" si="32"/>
        <v>1.0366422916666666E-2</v>
      </c>
      <c r="S98" s="19">
        <f>J98+IF(A98=INDEX($C$51:$E$51,D98),INDEX($C$44:$E$44,D98)*(1+'02_Plan'!$B$32),0)</f>
        <v>2.8334274193548389E-2</v>
      </c>
      <c r="T98" s="19">
        <f t="shared" si="33"/>
        <v>0</v>
      </c>
      <c r="U98" s="19">
        <f t="shared" si="34"/>
        <v>0</v>
      </c>
      <c r="V98" s="19">
        <f t="shared" si="35"/>
        <v>0</v>
      </c>
      <c r="W98" s="19">
        <f t="shared" si="36"/>
        <v>0</v>
      </c>
      <c r="X98" s="19">
        <f t="shared" si="37"/>
        <v>0</v>
      </c>
      <c r="Y98" s="19">
        <f>IF(A98=INDEX($C$50:$E$50,D98)+4,INDEX($C$46:$E$46,D98)*0.3*(1+'02_Plan'!$B$32),0)+IF(A98=INDEX($C$50:$E$50,D98)+9,INDEX($C$46:$E$46,D98)*0.7*(1+'02_Plan'!$B$32),0)</f>
        <v>0</v>
      </c>
      <c r="Z98" s="19">
        <f>IF(A98=INDEX($C$50:$E$50,D98)+14,INDEX($C$47:$E$47,D98)*(1+'02_Plan'!$B$32),0)</f>
        <v>0</v>
      </c>
      <c r="AA98" s="19">
        <f t="shared" si="38"/>
        <v>0</v>
      </c>
      <c r="AB98" s="19">
        <f t="shared" si="39"/>
        <v>0.10557368172222222</v>
      </c>
      <c r="AC98" s="19">
        <f t="shared" si="40"/>
        <v>8.4256252665770609E-2</v>
      </c>
      <c r="AD98" s="19">
        <f t="shared" si="41"/>
        <v>2.1317429056451606E-2</v>
      </c>
    </row>
    <row r="99" spans="1:30" x14ac:dyDescent="0.35">
      <c r="A99" s="14">
        <v>34</v>
      </c>
      <c r="B99" s="30">
        <f t="shared" si="21"/>
        <v>46147</v>
      </c>
      <c r="C99" s="23">
        <f t="shared" si="22"/>
        <v>5</v>
      </c>
      <c r="D99" s="23">
        <f t="shared" si="23"/>
        <v>2</v>
      </c>
      <c r="E99" s="22">
        <f t="shared" si="24"/>
        <v>173.65591397849462</v>
      </c>
      <c r="F99" s="22">
        <f t="shared" si="25"/>
        <v>205.64516129032259</v>
      </c>
      <c r="G99" s="22">
        <f t="shared" si="26"/>
        <v>114.24731182795698</v>
      </c>
      <c r="H99" s="19">
        <f t="shared" si="27"/>
        <v>5.6984587813620043E-2</v>
      </c>
      <c r="I99" s="19">
        <f>(E99*$B$20+F99*$B$21+G99*$B$22)*(1+'02_Plan'!$B$32)/10000000</f>
        <v>1.0032022177419357E-2</v>
      </c>
      <c r="J99" s="19">
        <f>INDEX($C$43:$E$43,D99)/INDEX($C$49:$E$49,D99)*(1+'02_Plan'!$B$32)</f>
        <v>2.8334274193548389E-2</v>
      </c>
      <c r="K99" s="19">
        <f t="shared" si="28"/>
        <v>4.9865673111111106E-2</v>
      </c>
      <c r="L99" s="19">
        <f t="shared" si="29"/>
        <v>4.1930230833333332E-2</v>
      </c>
      <c r="M99" s="19">
        <f t="shared" si="30"/>
        <v>1.3777777777777778E-2</v>
      </c>
      <c r="N99" s="19">
        <f>IF(OR(A99=29,A99=60,A99=90),$B$34*'02_Plan'!$B$25/12,0)</f>
        <v>0</v>
      </c>
      <c r="O99" s="19">
        <f>IF(A99&gt;=$B$7,INDEX($H$65:$H$155,A99-$B$7+1),0)*'02_Plan'!$B$31*(1+'02_Plan'!$B$32)+IF(A99&lt;=$I$7,$H$7/($I$7+1),0)</f>
        <v>3.0222222222222223E-2</v>
      </c>
      <c r="P99" s="19">
        <f>IF(A99&gt;=60,INDEX($H$65:$H$155,A99-60+1),0)*(1-'02_Plan'!$B$31)*(1+'02_Plan'!$B$32)+IF(A99&lt;=$I$8,$H$8/($I$8+1),0)</f>
        <v>1.5333333333333334E-2</v>
      </c>
      <c r="Q99" s="19">
        <f t="shared" si="31"/>
        <v>0</v>
      </c>
      <c r="R99" s="19">
        <f t="shared" si="32"/>
        <v>1.0366422916666666E-2</v>
      </c>
      <c r="S99" s="19">
        <f>J99+IF(A99=INDEX($C$51:$E$51,D99),INDEX($C$44:$E$44,D99)*(1+'02_Plan'!$B$32),0)</f>
        <v>2.8334274193548389E-2</v>
      </c>
      <c r="T99" s="19">
        <f t="shared" si="33"/>
        <v>0</v>
      </c>
      <c r="U99" s="19">
        <f t="shared" si="34"/>
        <v>0</v>
      </c>
      <c r="V99" s="19">
        <f t="shared" si="35"/>
        <v>0</v>
      </c>
      <c r="W99" s="19">
        <f t="shared" si="36"/>
        <v>0</v>
      </c>
      <c r="X99" s="19">
        <f t="shared" si="37"/>
        <v>0</v>
      </c>
      <c r="Y99" s="19">
        <f>IF(A99=INDEX($C$50:$E$50,D99)+4,INDEX($C$46:$E$46,D99)*0.3*(1+'02_Plan'!$B$32),0)+IF(A99=INDEX($C$50:$E$50,D99)+9,INDEX($C$46:$E$46,D99)*0.7*(1+'02_Plan'!$B$32),0)</f>
        <v>7.4340000000000003E-2</v>
      </c>
      <c r="Z99" s="19">
        <f>IF(A99=INDEX($C$50:$E$50,D99)+14,INDEX($C$47:$E$47,D99)*(1+'02_Plan'!$B$32),0)</f>
        <v>0</v>
      </c>
      <c r="AA99" s="19">
        <f t="shared" si="38"/>
        <v>0</v>
      </c>
      <c r="AB99" s="19">
        <f t="shared" si="39"/>
        <v>0.10557368172222222</v>
      </c>
      <c r="AC99" s="19">
        <f t="shared" si="40"/>
        <v>0.1585962526657706</v>
      </c>
      <c r="AD99" s="19">
        <f t="shared" si="41"/>
        <v>-5.3022570943548383E-2</v>
      </c>
    </row>
    <row r="100" spans="1:30" x14ac:dyDescent="0.35">
      <c r="A100" s="14">
        <v>35</v>
      </c>
      <c r="B100" s="30">
        <f t="shared" si="21"/>
        <v>46148</v>
      </c>
      <c r="C100" s="23">
        <f t="shared" si="22"/>
        <v>6</v>
      </c>
      <c r="D100" s="23">
        <f t="shared" si="23"/>
        <v>2</v>
      </c>
      <c r="E100" s="22">
        <f t="shared" si="24"/>
        <v>173.65591397849462</v>
      </c>
      <c r="F100" s="22">
        <f t="shared" si="25"/>
        <v>205.64516129032259</v>
      </c>
      <c r="G100" s="22">
        <f t="shared" si="26"/>
        <v>114.24731182795698</v>
      </c>
      <c r="H100" s="19">
        <f t="shared" si="27"/>
        <v>5.6984587813620043E-2</v>
      </c>
      <c r="I100" s="19">
        <f>(E100*$B$20+F100*$B$21+G100*$B$22)*(1+'02_Plan'!$B$32)/10000000</f>
        <v>1.0032022177419357E-2</v>
      </c>
      <c r="J100" s="19">
        <f>INDEX($C$43:$E$43,D100)/INDEX($C$49:$E$49,D100)*(1+'02_Plan'!$B$32)</f>
        <v>2.8334274193548389E-2</v>
      </c>
      <c r="K100" s="19">
        <f t="shared" si="28"/>
        <v>4.8900531050896055E-2</v>
      </c>
      <c r="L100" s="19">
        <f t="shared" si="29"/>
        <v>4.1930230833333332E-2</v>
      </c>
      <c r="M100" s="19">
        <f t="shared" si="30"/>
        <v>1.3777777777777778E-2</v>
      </c>
      <c r="N100" s="19">
        <f>IF(OR(A100=29,A100=60,A100=90),$B$34*'02_Plan'!$B$25/12,0)</f>
        <v>0</v>
      </c>
      <c r="O100" s="19">
        <f>IF(A100&gt;=$B$7,INDEX($H$65:$H$155,A100-$B$7+1),0)*'02_Plan'!$B$31*(1+'02_Plan'!$B$32)+IF(A100&lt;=$I$7,$H$7/($I$7+1),0)</f>
        <v>3.0222222222222223E-2</v>
      </c>
      <c r="P100" s="19">
        <f>IF(A100&gt;=60,INDEX($H$65:$H$155,A100-60+1),0)*(1-'02_Plan'!$B$31)*(1+'02_Plan'!$B$32)+IF(A100&lt;=$I$8,$H$8/($I$8+1),0)</f>
        <v>1.5333333333333334E-2</v>
      </c>
      <c r="Q100" s="19">
        <f t="shared" si="31"/>
        <v>0</v>
      </c>
      <c r="R100" s="19">
        <f t="shared" si="32"/>
        <v>1.0366422916666666E-2</v>
      </c>
      <c r="S100" s="19">
        <f>J100+IF(A100=INDEX($C$51:$E$51,D100),INDEX($C$44:$E$44,D100)*(1+'02_Plan'!$B$32),0)</f>
        <v>2.8334274193548389E-2</v>
      </c>
      <c r="T100" s="19">
        <f t="shared" si="33"/>
        <v>0</v>
      </c>
      <c r="U100" s="19">
        <f t="shared" si="34"/>
        <v>0</v>
      </c>
      <c r="V100" s="19">
        <f t="shared" si="35"/>
        <v>0</v>
      </c>
      <c r="W100" s="19">
        <f t="shared" si="36"/>
        <v>0</v>
      </c>
      <c r="X100" s="19">
        <f t="shared" si="37"/>
        <v>0</v>
      </c>
      <c r="Y100" s="19">
        <f>IF(A100=INDEX($C$50:$E$50,D100)+4,INDEX($C$46:$E$46,D100)*0.3*(1+'02_Plan'!$B$32),0)+IF(A100=INDEX($C$50:$E$50,D100)+9,INDEX($C$46:$E$46,D100)*0.7*(1+'02_Plan'!$B$32),0)</f>
        <v>0</v>
      </c>
      <c r="Z100" s="19">
        <f>IF(A100=INDEX($C$50:$E$50,D100)+14,INDEX($C$47:$E$47,D100)*(1+'02_Plan'!$B$32),0)</f>
        <v>0</v>
      </c>
      <c r="AA100" s="19">
        <f t="shared" si="38"/>
        <v>0</v>
      </c>
      <c r="AB100" s="19">
        <f t="shared" si="39"/>
        <v>0.10460853966200717</v>
      </c>
      <c r="AC100" s="19">
        <f t="shared" si="40"/>
        <v>8.4256252665770609E-2</v>
      </c>
      <c r="AD100" s="19">
        <f t="shared" si="41"/>
        <v>2.0352286996236563E-2</v>
      </c>
    </row>
    <row r="101" spans="1:30" x14ac:dyDescent="0.35">
      <c r="A101" s="14">
        <v>36</v>
      </c>
      <c r="B101" s="30">
        <f t="shared" si="21"/>
        <v>46149</v>
      </c>
      <c r="C101" s="23">
        <f t="shared" si="22"/>
        <v>6</v>
      </c>
      <c r="D101" s="23">
        <f t="shared" si="23"/>
        <v>2</v>
      </c>
      <c r="E101" s="22">
        <f t="shared" si="24"/>
        <v>173.65591397849462</v>
      </c>
      <c r="F101" s="22">
        <f t="shared" si="25"/>
        <v>205.64516129032259</v>
      </c>
      <c r="G101" s="22">
        <f t="shared" si="26"/>
        <v>114.24731182795698</v>
      </c>
      <c r="H101" s="19">
        <f t="shared" si="27"/>
        <v>5.6984587813620043E-2</v>
      </c>
      <c r="I101" s="19">
        <f>(E101*$B$20+F101*$B$21+G101*$B$22)*(1+'02_Plan'!$B$32)/10000000</f>
        <v>1.0032022177419357E-2</v>
      </c>
      <c r="J101" s="19">
        <f>INDEX($C$43:$E$43,D101)/INDEX($C$49:$E$49,D101)*(1+'02_Plan'!$B$32)</f>
        <v>2.8334274193548389E-2</v>
      </c>
      <c r="K101" s="19">
        <f t="shared" si="28"/>
        <v>4.8900531050896055E-2</v>
      </c>
      <c r="L101" s="19">
        <f t="shared" si="29"/>
        <v>4.1930230833333332E-2</v>
      </c>
      <c r="M101" s="19">
        <f t="shared" si="30"/>
        <v>1.3777777777777778E-2</v>
      </c>
      <c r="N101" s="19">
        <f>IF(OR(A101=29,A101=60,A101=90),$B$34*'02_Plan'!$B$25/12,0)</f>
        <v>0</v>
      </c>
      <c r="O101" s="19">
        <f>IF(A101&gt;=$B$7,INDEX($H$65:$H$155,A101-$B$7+1),0)*'02_Plan'!$B$31*(1+'02_Plan'!$B$32)+IF(A101&lt;=$I$7,$H$7/($I$7+1),0)</f>
        <v>3.0222222222222223E-2</v>
      </c>
      <c r="P101" s="19">
        <f>IF(A101&gt;=60,INDEX($H$65:$H$155,A101-60+1),0)*(1-'02_Plan'!$B$31)*(1+'02_Plan'!$B$32)+IF(A101&lt;=$I$8,$H$8/($I$8+1),0)</f>
        <v>1.5333333333333334E-2</v>
      </c>
      <c r="Q101" s="19">
        <f t="shared" si="31"/>
        <v>0</v>
      </c>
      <c r="R101" s="19">
        <f t="shared" si="32"/>
        <v>1.0366422916666666E-2</v>
      </c>
      <c r="S101" s="19">
        <f>J101+IF(A101=INDEX($C$51:$E$51,D101),INDEX($C$44:$E$44,D101)*(1+'02_Plan'!$B$32),0)</f>
        <v>2.8334274193548389E-2</v>
      </c>
      <c r="T101" s="19">
        <f t="shared" si="33"/>
        <v>0</v>
      </c>
      <c r="U101" s="19">
        <f t="shared" si="34"/>
        <v>0</v>
      </c>
      <c r="V101" s="19">
        <f t="shared" si="35"/>
        <v>4.643125E-2</v>
      </c>
      <c r="W101" s="19">
        <f t="shared" si="36"/>
        <v>0</v>
      </c>
      <c r="X101" s="19">
        <f t="shared" si="37"/>
        <v>0</v>
      </c>
      <c r="Y101" s="19">
        <f>IF(A101=INDEX($C$50:$E$50,D101)+4,INDEX($C$46:$E$46,D101)*0.3*(1+'02_Plan'!$B$32),0)+IF(A101=INDEX($C$50:$E$50,D101)+9,INDEX($C$46:$E$46,D101)*0.7*(1+'02_Plan'!$B$32),0)</f>
        <v>0</v>
      </c>
      <c r="Z101" s="19">
        <f>IF(A101=INDEX($C$50:$E$50,D101)+14,INDEX($C$47:$E$47,D101)*(1+'02_Plan'!$B$32),0)</f>
        <v>0</v>
      </c>
      <c r="AA101" s="19">
        <f t="shared" si="38"/>
        <v>0</v>
      </c>
      <c r="AB101" s="19">
        <f t="shared" si="39"/>
        <v>0.10460853966200717</v>
      </c>
      <c r="AC101" s="19">
        <f t="shared" si="40"/>
        <v>0.13068750266577062</v>
      </c>
      <c r="AD101" s="19">
        <f t="shared" si="41"/>
        <v>-2.6078963003763445E-2</v>
      </c>
    </row>
    <row r="102" spans="1:30" x14ac:dyDescent="0.35">
      <c r="A102" s="14">
        <v>37</v>
      </c>
      <c r="B102" s="30">
        <f t="shared" si="21"/>
        <v>46150</v>
      </c>
      <c r="C102" s="23">
        <f t="shared" si="22"/>
        <v>6</v>
      </c>
      <c r="D102" s="23">
        <f t="shared" si="23"/>
        <v>2</v>
      </c>
      <c r="E102" s="22">
        <f t="shared" si="24"/>
        <v>173.65591397849462</v>
      </c>
      <c r="F102" s="22">
        <f t="shared" si="25"/>
        <v>205.64516129032259</v>
      </c>
      <c r="G102" s="22">
        <f t="shared" si="26"/>
        <v>114.24731182795698</v>
      </c>
      <c r="H102" s="19">
        <f t="shared" si="27"/>
        <v>5.6984587813620043E-2</v>
      </c>
      <c r="I102" s="19">
        <f>(E102*$B$20+F102*$B$21+G102*$B$22)*(1+'02_Plan'!$B$32)/10000000</f>
        <v>1.0032022177419357E-2</v>
      </c>
      <c r="J102" s="19">
        <f>INDEX($C$43:$E$43,D102)/INDEX($C$49:$E$49,D102)*(1+'02_Plan'!$B$32)</f>
        <v>2.8334274193548389E-2</v>
      </c>
      <c r="K102" s="19">
        <f t="shared" si="28"/>
        <v>4.8900531050896055E-2</v>
      </c>
      <c r="L102" s="19">
        <f t="shared" si="29"/>
        <v>4.1930230833333332E-2</v>
      </c>
      <c r="M102" s="19">
        <f t="shared" si="30"/>
        <v>1.3777777777777778E-2</v>
      </c>
      <c r="N102" s="19">
        <f>IF(OR(A102=29,A102=60,A102=90),$B$34*'02_Plan'!$B$25/12,0)</f>
        <v>0</v>
      </c>
      <c r="O102" s="19">
        <f>IF(A102&gt;=$B$7,INDEX($H$65:$H$155,A102-$B$7+1),0)*'02_Plan'!$B$31*(1+'02_Plan'!$B$32)+IF(A102&lt;=$I$7,$H$7/($I$7+1),0)</f>
        <v>3.0222222222222223E-2</v>
      </c>
      <c r="P102" s="19">
        <f>IF(A102&gt;=60,INDEX($H$65:$H$155,A102-60+1),0)*(1-'02_Plan'!$B$31)*(1+'02_Plan'!$B$32)+IF(A102&lt;=$I$8,$H$8/($I$8+1),0)</f>
        <v>1.5333333333333334E-2</v>
      </c>
      <c r="Q102" s="19">
        <f t="shared" si="31"/>
        <v>0</v>
      </c>
      <c r="R102" s="19">
        <f t="shared" si="32"/>
        <v>1.0366422916666666E-2</v>
      </c>
      <c r="S102" s="19">
        <f>J102+IF(A102=INDEX($C$51:$E$51,D102),INDEX($C$44:$E$44,D102)*(1+'02_Plan'!$B$32),0)</f>
        <v>2.8334274193548389E-2</v>
      </c>
      <c r="T102" s="19">
        <f t="shared" si="33"/>
        <v>0</v>
      </c>
      <c r="U102" s="19">
        <f t="shared" si="34"/>
        <v>0</v>
      </c>
      <c r="V102" s="19">
        <f t="shared" si="35"/>
        <v>0</v>
      </c>
      <c r="W102" s="19">
        <f t="shared" si="36"/>
        <v>0</v>
      </c>
      <c r="X102" s="19">
        <f t="shared" si="37"/>
        <v>0</v>
      </c>
      <c r="Y102" s="19">
        <f>IF(A102=INDEX($C$50:$E$50,D102)+4,INDEX($C$46:$E$46,D102)*0.3*(1+'02_Plan'!$B$32),0)+IF(A102=INDEX($C$50:$E$50,D102)+9,INDEX($C$46:$E$46,D102)*0.7*(1+'02_Plan'!$B$32),0)</f>
        <v>0</v>
      </c>
      <c r="Z102" s="19">
        <f>IF(A102=INDEX($C$50:$E$50,D102)+14,INDEX($C$47:$E$47,D102)*(1+'02_Plan'!$B$32),0)</f>
        <v>0</v>
      </c>
      <c r="AA102" s="19">
        <f t="shared" si="38"/>
        <v>0</v>
      </c>
      <c r="AB102" s="19">
        <f t="shared" si="39"/>
        <v>0.10460853966200717</v>
      </c>
      <c r="AC102" s="19">
        <f t="shared" si="40"/>
        <v>8.4256252665770609E-2</v>
      </c>
      <c r="AD102" s="19">
        <f t="shared" si="41"/>
        <v>2.0352286996236563E-2</v>
      </c>
    </row>
    <row r="103" spans="1:30" x14ac:dyDescent="0.35">
      <c r="A103" s="14">
        <v>38</v>
      </c>
      <c r="B103" s="30">
        <f t="shared" si="21"/>
        <v>46151</v>
      </c>
      <c r="C103" s="23">
        <f t="shared" si="22"/>
        <v>6</v>
      </c>
      <c r="D103" s="23">
        <f t="shared" si="23"/>
        <v>2</v>
      </c>
      <c r="E103" s="22">
        <f t="shared" si="24"/>
        <v>173.65591397849462</v>
      </c>
      <c r="F103" s="22">
        <f t="shared" si="25"/>
        <v>205.64516129032259</v>
      </c>
      <c r="G103" s="22">
        <f t="shared" si="26"/>
        <v>114.24731182795698</v>
      </c>
      <c r="H103" s="19">
        <f t="shared" si="27"/>
        <v>5.6984587813620043E-2</v>
      </c>
      <c r="I103" s="19">
        <f>(E103*$B$20+F103*$B$21+G103*$B$22)*(1+'02_Plan'!$B$32)/10000000</f>
        <v>1.0032022177419357E-2</v>
      </c>
      <c r="J103" s="19">
        <f>INDEX($C$43:$E$43,D103)/INDEX($C$49:$E$49,D103)*(1+'02_Plan'!$B$32)</f>
        <v>2.8334274193548389E-2</v>
      </c>
      <c r="K103" s="19">
        <f t="shared" si="28"/>
        <v>4.8900531050896055E-2</v>
      </c>
      <c r="L103" s="19">
        <f t="shared" si="29"/>
        <v>4.1930230833333332E-2</v>
      </c>
      <c r="M103" s="19">
        <f t="shared" si="30"/>
        <v>1.3777777777777778E-2</v>
      </c>
      <c r="N103" s="19">
        <f>IF(OR(A103=29,A103=60,A103=90),$B$34*'02_Plan'!$B$25/12,0)</f>
        <v>0</v>
      </c>
      <c r="O103" s="19">
        <f>IF(A103&gt;=$B$7,INDEX($H$65:$H$155,A103-$B$7+1),0)*'02_Plan'!$B$31*(1+'02_Plan'!$B$32)+IF(A103&lt;=$I$7,$H$7/($I$7+1),0)</f>
        <v>3.0222222222222223E-2</v>
      </c>
      <c r="P103" s="19">
        <f>IF(A103&gt;=60,INDEX($H$65:$H$155,A103-60+1),0)*(1-'02_Plan'!$B$31)*(1+'02_Plan'!$B$32)+IF(A103&lt;=$I$8,$H$8/($I$8+1),0)</f>
        <v>1.5333333333333334E-2</v>
      </c>
      <c r="Q103" s="19">
        <f t="shared" si="31"/>
        <v>0</v>
      </c>
      <c r="R103" s="19">
        <f t="shared" si="32"/>
        <v>1.0366422916666666E-2</v>
      </c>
      <c r="S103" s="19">
        <f>J103+IF(A103=INDEX($C$51:$E$51,D103),INDEX($C$44:$E$44,D103)*(1+'02_Plan'!$B$32),0)</f>
        <v>2.8334274193548389E-2</v>
      </c>
      <c r="T103" s="19">
        <f t="shared" si="33"/>
        <v>0</v>
      </c>
      <c r="U103" s="19">
        <f t="shared" si="34"/>
        <v>0</v>
      </c>
      <c r="V103" s="19">
        <f t="shared" si="35"/>
        <v>0</v>
      </c>
      <c r="W103" s="19">
        <f t="shared" si="36"/>
        <v>0</v>
      </c>
      <c r="X103" s="19">
        <f t="shared" si="37"/>
        <v>0</v>
      </c>
      <c r="Y103" s="19">
        <f>IF(A103=INDEX($C$50:$E$50,D103)+4,INDEX($C$46:$E$46,D103)*0.3*(1+'02_Plan'!$B$32),0)+IF(A103=INDEX($C$50:$E$50,D103)+9,INDEX($C$46:$E$46,D103)*0.7*(1+'02_Plan'!$B$32),0)</f>
        <v>0</v>
      </c>
      <c r="Z103" s="19">
        <f>IF(A103=INDEX($C$50:$E$50,D103)+14,INDEX($C$47:$E$47,D103)*(1+'02_Plan'!$B$32),0)</f>
        <v>0</v>
      </c>
      <c r="AA103" s="19">
        <f t="shared" si="38"/>
        <v>0</v>
      </c>
      <c r="AB103" s="19">
        <f t="shared" si="39"/>
        <v>0.10460853966200717</v>
      </c>
      <c r="AC103" s="19">
        <f t="shared" si="40"/>
        <v>8.4256252665770609E-2</v>
      </c>
      <c r="AD103" s="19">
        <f t="shared" si="41"/>
        <v>2.0352286996236563E-2</v>
      </c>
    </row>
    <row r="104" spans="1:30" x14ac:dyDescent="0.35">
      <c r="A104" s="14">
        <v>39</v>
      </c>
      <c r="B104" s="30">
        <f t="shared" si="21"/>
        <v>46152</v>
      </c>
      <c r="C104" s="23">
        <f t="shared" si="22"/>
        <v>6</v>
      </c>
      <c r="D104" s="23">
        <f t="shared" si="23"/>
        <v>2</v>
      </c>
      <c r="E104" s="22">
        <f t="shared" si="24"/>
        <v>173.65591397849462</v>
      </c>
      <c r="F104" s="22">
        <f t="shared" si="25"/>
        <v>205.64516129032259</v>
      </c>
      <c r="G104" s="22">
        <f t="shared" si="26"/>
        <v>114.24731182795698</v>
      </c>
      <c r="H104" s="19">
        <f t="shared" si="27"/>
        <v>5.6984587813620043E-2</v>
      </c>
      <c r="I104" s="19">
        <f>(E104*$B$20+F104*$B$21+G104*$B$22)*(1+'02_Plan'!$B$32)/10000000</f>
        <v>1.0032022177419357E-2</v>
      </c>
      <c r="J104" s="19">
        <f>INDEX($C$43:$E$43,D104)/INDEX($C$49:$E$49,D104)*(1+'02_Plan'!$B$32)</f>
        <v>2.8334274193548389E-2</v>
      </c>
      <c r="K104" s="19">
        <f t="shared" si="28"/>
        <v>4.8900531050896055E-2</v>
      </c>
      <c r="L104" s="19">
        <f t="shared" si="29"/>
        <v>4.1930230833333332E-2</v>
      </c>
      <c r="M104" s="19">
        <f t="shared" si="30"/>
        <v>1.3777777777777778E-2</v>
      </c>
      <c r="N104" s="19">
        <f>IF(OR(A104=29,A104=60,A104=90),$B$34*'02_Plan'!$B$25/12,0)</f>
        <v>0</v>
      </c>
      <c r="O104" s="19">
        <f>IF(A104&gt;=$B$7,INDEX($H$65:$H$155,A104-$B$7+1),0)*'02_Plan'!$B$31*(1+'02_Plan'!$B$32)+IF(A104&lt;=$I$7,$H$7/($I$7+1),0)</f>
        <v>3.0222222222222223E-2</v>
      </c>
      <c r="P104" s="19">
        <f>IF(A104&gt;=60,INDEX($H$65:$H$155,A104-60+1),0)*(1-'02_Plan'!$B$31)*(1+'02_Plan'!$B$32)+IF(A104&lt;=$I$8,$H$8/($I$8+1),0)</f>
        <v>1.5333333333333334E-2</v>
      </c>
      <c r="Q104" s="19">
        <f t="shared" si="31"/>
        <v>0</v>
      </c>
      <c r="R104" s="19">
        <f t="shared" si="32"/>
        <v>1.0366422916666666E-2</v>
      </c>
      <c r="S104" s="19">
        <f>J104+IF(A104=INDEX($C$51:$E$51,D104),INDEX($C$44:$E$44,D104)*(1+'02_Plan'!$B$32),0)</f>
        <v>2.8334274193548389E-2</v>
      </c>
      <c r="T104" s="19">
        <f t="shared" si="33"/>
        <v>0</v>
      </c>
      <c r="U104" s="19">
        <f t="shared" si="34"/>
        <v>0</v>
      </c>
      <c r="V104" s="19">
        <f t="shared" si="35"/>
        <v>0</v>
      </c>
      <c r="W104" s="19">
        <f t="shared" si="36"/>
        <v>0</v>
      </c>
      <c r="X104" s="19">
        <f t="shared" si="37"/>
        <v>0</v>
      </c>
      <c r="Y104" s="19">
        <f>IF(A104=INDEX($C$50:$E$50,D104)+4,INDEX($C$46:$E$46,D104)*0.3*(1+'02_Plan'!$B$32),0)+IF(A104=INDEX($C$50:$E$50,D104)+9,INDEX($C$46:$E$46,D104)*0.7*(1+'02_Plan'!$B$32),0)</f>
        <v>0.17345999999999998</v>
      </c>
      <c r="Z104" s="19">
        <f>IF(A104=INDEX($C$50:$E$50,D104)+14,INDEX($C$47:$E$47,D104)*(1+'02_Plan'!$B$32),0)</f>
        <v>0</v>
      </c>
      <c r="AA104" s="19">
        <f t="shared" si="38"/>
        <v>0</v>
      </c>
      <c r="AB104" s="19">
        <f t="shared" si="39"/>
        <v>0.10460853966200717</v>
      </c>
      <c r="AC104" s="19">
        <f t="shared" si="40"/>
        <v>0.25771625266577058</v>
      </c>
      <c r="AD104" s="19">
        <f t="shared" si="41"/>
        <v>-0.15310771300376341</v>
      </c>
    </row>
    <row r="105" spans="1:30" x14ac:dyDescent="0.35">
      <c r="A105" s="14">
        <v>40</v>
      </c>
      <c r="B105" s="30">
        <f t="shared" si="21"/>
        <v>46153</v>
      </c>
      <c r="C105" s="23">
        <f t="shared" si="22"/>
        <v>6</v>
      </c>
      <c r="D105" s="23">
        <f t="shared" si="23"/>
        <v>2</v>
      </c>
      <c r="E105" s="22">
        <f t="shared" si="24"/>
        <v>173.65591397849462</v>
      </c>
      <c r="F105" s="22">
        <f t="shared" si="25"/>
        <v>205.64516129032259</v>
      </c>
      <c r="G105" s="22">
        <f t="shared" si="26"/>
        <v>114.24731182795698</v>
      </c>
      <c r="H105" s="19">
        <f t="shared" si="27"/>
        <v>5.6984587813620043E-2</v>
      </c>
      <c r="I105" s="19">
        <f>(E105*$B$20+F105*$B$21+G105*$B$22)*(1+'02_Plan'!$B$32)/10000000</f>
        <v>1.0032022177419357E-2</v>
      </c>
      <c r="J105" s="19">
        <f>INDEX($C$43:$E$43,D105)/INDEX($C$49:$E$49,D105)*(1+'02_Plan'!$B$32)</f>
        <v>2.8334274193548389E-2</v>
      </c>
      <c r="K105" s="19">
        <f t="shared" si="28"/>
        <v>4.8257103010752686E-2</v>
      </c>
      <c r="L105" s="19">
        <f t="shared" si="29"/>
        <v>4.1930230833333332E-2</v>
      </c>
      <c r="M105" s="19">
        <f t="shared" si="30"/>
        <v>1.3777777777777778E-2</v>
      </c>
      <c r="N105" s="19">
        <f>IF(OR(A105=29,A105=60,A105=90),$B$34*'02_Plan'!$B$25/12,0)</f>
        <v>0</v>
      </c>
      <c r="O105" s="19">
        <f>IF(A105&gt;=$B$7,INDEX($H$65:$H$155,A105-$B$7+1),0)*'02_Plan'!$B$31*(1+'02_Plan'!$B$32)+IF(A105&lt;=$I$7,$H$7/($I$7+1),0)</f>
        <v>3.0222222222222223E-2</v>
      </c>
      <c r="P105" s="19">
        <f>IF(A105&gt;=60,INDEX($H$65:$H$155,A105-60+1),0)*(1-'02_Plan'!$B$31)*(1+'02_Plan'!$B$32)+IF(A105&lt;=$I$8,$H$8/($I$8+1),0)</f>
        <v>1.5333333333333334E-2</v>
      </c>
      <c r="Q105" s="19">
        <f t="shared" si="31"/>
        <v>0</v>
      </c>
      <c r="R105" s="19">
        <f t="shared" si="32"/>
        <v>1.0366422916666666E-2</v>
      </c>
      <c r="S105" s="19">
        <f>J105+IF(A105=INDEX($C$51:$E$51,D105),INDEX($C$44:$E$44,D105)*(1+'02_Plan'!$B$32),0)</f>
        <v>2.8334274193548389E-2</v>
      </c>
      <c r="T105" s="19">
        <f t="shared" si="33"/>
        <v>0</v>
      </c>
      <c r="U105" s="19">
        <f t="shared" si="34"/>
        <v>0</v>
      </c>
      <c r="V105" s="19">
        <f t="shared" si="35"/>
        <v>0</v>
      </c>
      <c r="W105" s="19">
        <f t="shared" si="36"/>
        <v>0</v>
      </c>
      <c r="X105" s="19">
        <f t="shared" si="37"/>
        <v>0</v>
      </c>
      <c r="Y105" s="19">
        <f>IF(A105=INDEX($C$50:$E$50,D105)+4,INDEX($C$46:$E$46,D105)*0.3*(1+'02_Plan'!$B$32),0)+IF(A105=INDEX($C$50:$E$50,D105)+9,INDEX($C$46:$E$46,D105)*0.7*(1+'02_Plan'!$B$32),0)</f>
        <v>0</v>
      </c>
      <c r="Z105" s="19">
        <f>IF(A105=INDEX($C$50:$E$50,D105)+14,INDEX($C$47:$E$47,D105)*(1+'02_Plan'!$B$32),0)</f>
        <v>0</v>
      </c>
      <c r="AA105" s="19">
        <f t="shared" si="38"/>
        <v>0</v>
      </c>
      <c r="AB105" s="19">
        <f t="shared" si="39"/>
        <v>0.1039651116218638</v>
      </c>
      <c r="AC105" s="19">
        <f t="shared" si="40"/>
        <v>8.4256252665770609E-2</v>
      </c>
      <c r="AD105" s="19">
        <f t="shared" si="41"/>
        <v>1.9708858956093186E-2</v>
      </c>
    </row>
    <row r="106" spans="1:30" x14ac:dyDescent="0.35">
      <c r="A106" s="14">
        <v>41</v>
      </c>
      <c r="B106" s="30">
        <f t="shared" si="21"/>
        <v>46154</v>
      </c>
      <c r="C106" s="23">
        <f t="shared" si="22"/>
        <v>6</v>
      </c>
      <c r="D106" s="23">
        <f t="shared" si="23"/>
        <v>2</v>
      </c>
      <c r="E106" s="22">
        <f t="shared" si="24"/>
        <v>173.65591397849462</v>
      </c>
      <c r="F106" s="22">
        <f t="shared" si="25"/>
        <v>205.64516129032259</v>
      </c>
      <c r="G106" s="22">
        <f t="shared" si="26"/>
        <v>114.24731182795698</v>
      </c>
      <c r="H106" s="19">
        <f t="shared" si="27"/>
        <v>5.6984587813620043E-2</v>
      </c>
      <c r="I106" s="19">
        <f>(E106*$B$20+F106*$B$21+G106*$B$22)*(1+'02_Plan'!$B$32)/10000000</f>
        <v>1.0032022177419357E-2</v>
      </c>
      <c r="J106" s="19">
        <f>INDEX($C$43:$E$43,D106)/INDEX($C$49:$E$49,D106)*(1+'02_Plan'!$B$32)</f>
        <v>2.8334274193548389E-2</v>
      </c>
      <c r="K106" s="19">
        <f t="shared" si="28"/>
        <v>4.8257103010752686E-2</v>
      </c>
      <c r="L106" s="19">
        <f t="shared" si="29"/>
        <v>4.0577642741935482E-2</v>
      </c>
      <c r="M106" s="19">
        <f t="shared" si="30"/>
        <v>1.3777777777777778E-2</v>
      </c>
      <c r="N106" s="19">
        <f>IF(OR(A106=29,A106=60,A106=90),$B$34*'02_Plan'!$B$25/12,0)</f>
        <v>0</v>
      </c>
      <c r="O106" s="19">
        <f>IF(A106&gt;=$B$7,INDEX($H$65:$H$155,A106-$B$7+1),0)*'02_Plan'!$B$31*(1+'02_Plan'!$B$32)+IF(A106&lt;=$I$7,$H$7/($I$7+1),0)</f>
        <v>3.0222222222222223E-2</v>
      </c>
      <c r="P106" s="19">
        <f>IF(A106&gt;=60,INDEX($H$65:$H$155,A106-60+1),0)*(1-'02_Plan'!$B$31)*(1+'02_Plan'!$B$32)+IF(A106&lt;=$I$8,$H$8/($I$8+1),0)</f>
        <v>1.5333333333333334E-2</v>
      </c>
      <c r="Q106" s="19">
        <f t="shared" si="31"/>
        <v>0</v>
      </c>
      <c r="R106" s="19">
        <f t="shared" si="32"/>
        <v>1.0366422916666666E-2</v>
      </c>
      <c r="S106" s="19">
        <f>J106+IF(A106=INDEX($C$51:$E$51,D106),INDEX($C$44:$E$44,D106)*(1+'02_Plan'!$B$32),0)</f>
        <v>2.8334274193548389E-2</v>
      </c>
      <c r="T106" s="19">
        <f t="shared" si="33"/>
        <v>0</v>
      </c>
      <c r="U106" s="19">
        <f t="shared" si="34"/>
        <v>0</v>
      </c>
      <c r="V106" s="19">
        <f t="shared" si="35"/>
        <v>0</v>
      </c>
      <c r="W106" s="19">
        <f t="shared" si="36"/>
        <v>0</v>
      </c>
      <c r="X106" s="19">
        <f t="shared" si="37"/>
        <v>0</v>
      </c>
      <c r="Y106" s="19">
        <f>IF(A106=INDEX($C$50:$E$50,D106)+4,INDEX($C$46:$E$46,D106)*0.3*(1+'02_Plan'!$B$32),0)+IF(A106=INDEX($C$50:$E$50,D106)+9,INDEX($C$46:$E$46,D106)*0.7*(1+'02_Plan'!$B$32),0)</f>
        <v>0</v>
      </c>
      <c r="Z106" s="19">
        <f>IF(A106=INDEX($C$50:$E$50,D106)+14,INDEX($C$47:$E$47,D106)*(1+'02_Plan'!$B$32),0)</f>
        <v>0</v>
      </c>
      <c r="AA106" s="19">
        <f t="shared" si="38"/>
        <v>0</v>
      </c>
      <c r="AB106" s="19">
        <f t="shared" si="39"/>
        <v>0.10261252353046595</v>
      </c>
      <c r="AC106" s="19">
        <f t="shared" si="40"/>
        <v>8.4256252665770609E-2</v>
      </c>
      <c r="AD106" s="19">
        <f t="shared" si="41"/>
        <v>1.8356270864695337E-2</v>
      </c>
    </row>
    <row r="107" spans="1:30" x14ac:dyDescent="0.35">
      <c r="A107" s="14">
        <v>42</v>
      </c>
      <c r="B107" s="30">
        <f t="shared" si="21"/>
        <v>46155</v>
      </c>
      <c r="C107" s="23">
        <f t="shared" si="22"/>
        <v>7</v>
      </c>
      <c r="D107" s="23">
        <f t="shared" si="23"/>
        <v>2</v>
      </c>
      <c r="E107" s="22">
        <f t="shared" si="24"/>
        <v>173.65591397849462</v>
      </c>
      <c r="F107" s="22">
        <f t="shared" si="25"/>
        <v>205.64516129032259</v>
      </c>
      <c r="G107" s="22">
        <f t="shared" si="26"/>
        <v>114.24731182795698</v>
      </c>
      <c r="H107" s="19">
        <f t="shared" si="27"/>
        <v>5.6984587813620043E-2</v>
      </c>
      <c r="I107" s="19">
        <f>(E107*$B$20+F107*$B$21+G107*$B$22)*(1+'02_Plan'!$B$32)/10000000</f>
        <v>1.0032022177419357E-2</v>
      </c>
      <c r="J107" s="19">
        <f>INDEX($C$43:$E$43,D107)/INDEX($C$49:$E$49,D107)*(1+'02_Plan'!$B$32)</f>
        <v>2.8334274193548389E-2</v>
      </c>
      <c r="K107" s="19">
        <f t="shared" si="28"/>
        <v>4.8257103010752686E-2</v>
      </c>
      <c r="L107" s="19">
        <f t="shared" si="29"/>
        <v>4.0577642741935482E-2</v>
      </c>
      <c r="M107" s="19">
        <f t="shared" si="30"/>
        <v>1.3777777777777778E-2</v>
      </c>
      <c r="N107" s="19">
        <f>IF(OR(A107=29,A107=60,A107=90),$B$34*'02_Plan'!$B$25/12,0)</f>
        <v>0</v>
      </c>
      <c r="O107" s="19">
        <f>IF(A107&gt;=$B$7,INDEX($H$65:$H$155,A107-$B$7+1),0)*'02_Plan'!$B$31*(1+'02_Plan'!$B$32)+IF(A107&lt;=$I$7,$H$7/($I$7+1),0)</f>
        <v>3.0222222222222223E-2</v>
      </c>
      <c r="P107" s="19">
        <f>IF(A107&gt;=60,INDEX($H$65:$H$155,A107-60+1),0)*(1-'02_Plan'!$B$31)*(1+'02_Plan'!$B$32)+IF(A107&lt;=$I$8,$H$8/($I$8+1),0)</f>
        <v>1.5333333333333334E-2</v>
      </c>
      <c r="Q107" s="19">
        <f t="shared" si="31"/>
        <v>0</v>
      </c>
      <c r="R107" s="19">
        <f t="shared" si="32"/>
        <v>1.0366422916666666E-2</v>
      </c>
      <c r="S107" s="19">
        <f>J107+IF(A107=INDEX($C$51:$E$51,D107),INDEX($C$44:$E$44,D107)*(1+'02_Plan'!$B$32),0)</f>
        <v>2.8334274193548389E-2</v>
      </c>
      <c r="T107" s="19">
        <f t="shared" si="33"/>
        <v>0</v>
      </c>
      <c r="U107" s="19">
        <f t="shared" si="34"/>
        <v>0</v>
      </c>
      <c r="V107" s="19">
        <f t="shared" si="35"/>
        <v>0</v>
      </c>
      <c r="W107" s="19">
        <f t="shared" si="36"/>
        <v>0</v>
      </c>
      <c r="X107" s="19">
        <f t="shared" si="37"/>
        <v>0</v>
      </c>
      <c r="Y107" s="19">
        <f>IF(A107=INDEX($C$50:$E$50,D107)+4,INDEX($C$46:$E$46,D107)*0.3*(1+'02_Plan'!$B$32),0)+IF(A107=INDEX($C$50:$E$50,D107)+9,INDEX($C$46:$E$46,D107)*0.7*(1+'02_Plan'!$B$32),0)</f>
        <v>0</v>
      </c>
      <c r="Z107" s="19">
        <f>IF(A107=INDEX($C$50:$E$50,D107)+14,INDEX($C$47:$E$47,D107)*(1+'02_Plan'!$B$32),0)</f>
        <v>0</v>
      </c>
      <c r="AA107" s="19">
        <f t="shared" si="38"/>
        <v>0</v>
      </c>
      <c r="AB107" s="19">
        <f t="shared" si="39"/>
        <v>0.10261252353046595</v>
      </c>
      <c r="AC107" s="19">
        <f t="shared" si="40"/>
        <v>8.4256252665770609E-2</v>
      </c>
      <c r="AD107" s="19">
        <f t="shared" si="41"/>
        <v>1.8356270864695337E-2</v>
      </c>
    </row>
    <row r="108" spans="1:30" x14ac:dyDescent="0.35">
      <c r="A108" s="14">
        <v>43</v>
      </c>
      <c r="B108" s="30">
        <f t="shared" si="21"/>
        <v>46156</v>
      </c>
      <c r="C108" s="23">
        <f t="shared" si="22"/>
        <v>7</v>
      </c>
      <c r="D108" s="23">
        <f t="shared" si="23"/>
        <v>2</v>
      </c>
      <c r="E108" s="22">
        <f t="shared" si="24"/>
        <v>173.65591397849462</v>
      </c>
      <c r="F108" s="22">
        <f t="shared" si="25"/>
        <v>205.64516129032259</v>
      </c>
      <c r="G108" s="22">
        <f t="shared" si="26"/>
        <v>114.24731182795698</v>
      </c>
      <c r="H108" s="19">
        <f t="shared" si="27"/>
        <v>5.6984587813620043E-2</v>
      </c>
      <c r="I108" s="19">
        <f>(E108*$B$20+F108*$B$21+G108*$B$22)*(1+'02_Plan'!$B$32)/10000000</f>
        <v>1.0032022177419357E-2</v>
      </c>
      <c r="J108" s="19">
        <f>INDEX($C$43:$E$43,D108)/INDEX($C$49:$E$49,D108)*(1+'02_Plan'!$B$32)</f>
        <v>2.8334274193548389E-2</v>
      </c>
      <c r="K108" s="19">
        <f t="shared" si="28"/>
        <v>4.8257103010752686E-2</v>
      </c>
      <c r="L108" s="19">
        <f t="shared" si="29"/>
        <v>4.0577642741935482E-2</v>
      </c>
      <c r="M108" s="19">
        <f t="shared" si="30"/>
        <v>1.3777777777777778E-2</v>
      </c>
      <c r="N108" s="19">
        <f>IF(OR(A108=29,A108=60,A108=90),$B$34*'02_Plan'!$B$25/12,0)</f>
        <v>0</v>
      </c>
      <c r="O108" s="19">
        <f>IF(A108&gt;=$B$7,INDEX($H$65:$H$155,A108-$B$7+1),0)*'02_Plan'!$B$31*(1+'02_Plan'!$B$32)+IF(A108&lt;=$I$7,$H$7/($I$7+1),0)</f>
        <v>3.0222222222222223E-2</v>
      </c>
      <c r="P108" s="19">
        <f>IF(A108&gt;=60,INDEX($H$65:$H$155,A108-60+1),0)*(1-'02_Plan'!$B$31)*(1+'02_Plan'!$B$32)+IF(A108&lt;=$I$8,$H$8/($I$8+1),0)</f>
        <v>1.5333333333333334E-2</v>
      </c>
      <c r="Q108" s="19">
        <f t="shared" si="31"/>
        <v>0</v>
      </c>
      <c r="R108" s="19">
        <f t="shared" si="32"/>
        <v>1.0366422916666666E-2</v>
      </c>
      <c r="S108" s="19">
        <f>J108+IF(A108=INDEX($C$51:$E$51,D108),INDEX($C$44:$E$44,D108)*(1+'02_Plan'!$B$32),0)</f>
        <v>2.8334274193548389E-2</v>
      </c>
      <c r="T108" s="19">
        <f t="shared" si="33"/>
        <v>0</v>
      </c>
      <c r="U108" s="19">
        <f t="shared" si="34"/>
        <v>0</v>
      </c>
      <c r="V108" s="19">
        <f t="shared" si="35"/>
        <v>0</v>
      </c>
      <c r="W108" s="19">
        <f t="shared" si="36"/>
        <v>0</v>
      </c>
      <c r="X108" s="19">
        <f t="shared" si="37"/>
        <v>0</v>
      </c>
      <c r="Y108" s="19">
        <f>IF(A108=INDEX($C$50:$E$50,D108)+4,INDEX($C$46:$E$46,D108)*0.3*(1+'02_Plan'!$B$32),0)+IF(A108=INDEX($C$50:$E$50,D108)+9,INDEX($C$46:$E$46,D108)*0.7*(1+'02_Plan'!$B$32),0)</f>
        <v>0</v>
      </c>
      <c r="Z108" s="19">
        <f>IF(A108=INDEX($C$50:$E$50,D108)+14,INDEX($C$47:$E$47,D108)*(1+'02_Plan'!$B$32),0)</f>
        <v>0</v>
      </c>
      <c r="AA108" s="19">
        <f t="shared" si="38"/>
        <v>0</v>
      </c>
      <c r="AB108" s="19">
        <f t="shared" si="39"/>
        <v>0.10261252353046595</v>
      </c>
      <c r="AC108" s="19">
        <f t="shared" si="40"/>
        <v>8.4256252665770609E-2</v>
      </c>
      <c r="AD108" s="19">
        <f t="shared" si="41"/>
        <v>1.8356270864695337E-2</v>
      </c>
    </row>
    <row r="109" spans="1:30" x14ac:dyDescent="0.35">
      <c r="A109" s="14">
        <v>44</v>
      </c>
      <c r="B109" s="30">
        <f t="shared" si="21"/>
        <v>46157</v>
      </c>
      <c r="C109" s="23">
        <f t="shared" si="22"/>
        <v>7</v>
      </c>
      <c r="D109" s="23">
        <f t="shared" si="23"/>
        <v>2</v>
      </c>
      <c r="E109" s="22">
        <f t="shared" si="24"/>
        <v>173.65591397849462</v>
      </c>
      <c r="F109" s="22">
        <f t="shared" si="25"/>
        <v>205.64516129032259</v>
      </c>
      <c r="G109" s="22">
        <f t="shared" si="26"/>
        <v>114.24731182795698</v>
      </c>
      <c r="H109" s="19">
        <f t="shared" si="27"/>
        <v>5.6984587813620043E-2</v>
      </c>
      <c r="I109" s="19">
        <f>(E109*$B$20+F109*$B$21+G109*$B$22)*(1+'02_Plan'!$B$32)/10000000</f>
        <v>1.0032022177419357E-2</v>
      </c>
      <c r="J109" s="19">
        <f>INDEX($C$43:$E$43,D109)/INDEX($C$49:$E$49,D109)*(1+'02_Plan'!$B$32)</f>
        <v>2.8334274193548389E-2</v>
      </c>
      <c r="K109" s="19">
        <f t="shared" si="28"/>
        <v>4.8257103010752686E-2</v>
      </c>
      <c r="L109" s="19">
        <f t="shared" si="29"/>
        <v>4.0577642741935482E-2</v>
      </c>
      <c r="M109" s="19">
        <f t="shared" si="30"/>
        <v>1.3777777777777778E-2</v>
      </c>
      <c r="N109" s="19">
        <f>IF(OR(A109=29,A109=60,A109=90),$B$34*'02_Plan'!$B$25/12,0)</f>
        <v>0</v>
      </c>
      <c r="O109" s="19">
        <f>IF(A109&gt;=$B$7,INDEX($H$65:$H$155,A109-$B$7+1),0)*'02_Plan'!$B$31*(1+'02_Plan'!$B$32)+IF(A109&lt;=$I$7,$H$7/($I$7+1),0)</f>
        <v>3.0222222222222223E-2</v>
      </c>
      <c r="P109" s="19">
        <f>IF(A109&gt;=60,INDEX($H$65:$H$155,A109-60+1),0)*(1-'02_Plan'!$B$31)*(1+'02_Plan'!$B$32)+IF(A109&lt;=$I$8,$H$8/($I$8+1),0)</f>
        <v>1.5333333333333334E-2</v>
      </c>
      <c r="Q109" s="19">
        <f t="shared" si="31"/>
        <v>0</v>
      </c>
      <c r="R109" s="19">
        <f t="shared" si="32"/>
        <v>1.0366422916666666E-2</v>
      </c>
      <c r="S109" s="19">
        <f>J109+IF(A109=INDEX($C$51:$E$51,D109),INDEX($C$44:$E$44,D109)*(1+'02_Plan'!$B$32),0)</f>
        <v>2.8334274193548389E-2</v>
      </c>
      <c r="T109" s="19">
        <f t="shared" si="33"/>
        <v>0</v>
      </c>
      <c r="U109" s="19">
        <f t="shared" si="34"/>
        <v>0</v>
      </c>
      <c r="V109" s="19">
        <f t="shared" si="35"/>
        <v>0</v>
      </c>
      <c r="W109" s="19">
        <f t="shared" si="36"/>
        <v>2.0527500000000001E-2</v>
      </c>
      <c r="X109" s="19">
        <f t="shared" si="37"/>
        <v>0</v>
      </c>
      <c r="Y109" s="19">
        <f>IF(A109=INDEX($C$50:$E$50,D109)+4,INDEX($C$46:$E$46,D109)*0.3*(1+'02_Plan'!$B$32),0)+IF(A109=INDEX($C$50:$E$50,D109)+9,INDEX($C$46:$E$46,D109)*0.7*(1+'02_Plan'!$B$32),0)</f>
        <v>0</v>
      </c>
      <c r="Z109" s="19">
        <f>IF(A109=INDEX($C$50:$E$50,D109)+14,INDEX($C$47:$E$47,D109)*(1+'02_Plan'!$B$32),0)</f>
        <v>0.94399999999999995</v>
      </c>
      <c r="AA109" s="19">
        <f t="shared" si="38"/>
        <v>0</v>
      </c>
      <c r="AB109" s="19">
        <f t="shared" si="39"/>
        <v>0.10261252353046595</v>
      </c>
      <c r="AC109" s="19">
        <f t="shared" si="40"/>
        <v>1.0487837526657706</v>
      </c>
      <c r="AD109" s="19">
        <f t="shared" si="41"/>
        <v>-0.94617122913530471</v>
      </c>
    </row>
    <row r="110" spans="1:30" x14ac:dyDescent="0.35">
      <c r="A110" s="14">
        <v>45</v>
      </c>
      <c r="B110" s="30">
        <f t="shared" si="21"/>
        <v>46158</v>
      </c>
      <c r="C110" s="23">
        <f t="shared" si="22"/>
        <v>7</v>
      </c>
      <c r="D110" s="23">
        <f t="shared" si="23"/>
        <v>2</v>
      </c>
      <c r="E110" s="22">
        <f t="shared" si="24"/>
        <v>173.65591397849462</v>
      </c>
      <c r="F110" s="22">
        <f t="shared" si="25"/>
        <v>205.64516129032259</v>
      </c>
      <c r="G110" s="22">
        <f t="shared" si="26"/>
        <v>114.24731182795698</v>
      </c>
      <c r="H110" s="19">
        <f t="shared" si="27"/>
        <v>5.6984587813620043E-2</v>
      </c>
      <c r="I110" s="19">
        <f>(E110*$B$20+F110*$B$21+G110*$B$22)*(1+'02_Plan'!$B$32)/10000000</f>
        <v>1.0032022177419357E-2</v>
      </c>
      <c r="J110" s="19">
        <f>INDEX($C$43:$E$43,D110)/INDEX($C$49:$E$49,D110)*(1+'02_Plan'!$B$32)</f>
        <v>2.8334274193548389E-2</v>
      </c>
      <c r="K110" s="19">
        <f t="shared" si="28"/>
        <v>4.8257103010752686E-2</v>
      </c>
      <c r="L110" s="19">
        <f t="shared" si="29"/>
        <v>4.0577642741935482E-2</v>
      </c>
      <c r="M110" s="19">
        <f t="shared" si="30"/>
        <v>2.5075E-2</v>
      </c>
      <c r="N110" s="19">
        <f>IF(OR(A110=29,A110=60,A110=90),$B$34*'02_Plan'!$B$25/12,0)</f>
        <v>0</v>
      </c>
      <c r="O110" s="19">
        <f>IF(A110&gt;=$B$7,INDEX($H$65:$H$155,A110-$B$7+1),0)*'02_Plan'!$B$31*(1+'02_Plan'!$B$32)+IF(A110&lt;=$I$7,$H$7/($I$7+1),0)</f>
        <v>7.0069029333333338E-2</v>
      </c>
      <c r="P110" s="19">
        <f>IF(A110&gt;=60,INDEX($H$65:$H$155,A110-60+1),0)*(1-'02_Plan'!$B$31)*(1+'02_Plan'!$B$32)+IF(A110&lt;=$I$8,$H$8/($I$8+1),0)</f>
        <v>1.5333333333333334E-2</v>
      </c>
      <c r="Q110" s="19">
        <f t="shared" si="31"/>
        <v>0</v>
      </c>
      <c r="R110" s="19">
        <f t="shared" si="32"/>
        <v>1.0032022177419357E-2</v>
      </c>
      <c r="S110" s="19">
        <f>J110+IF(A110=INDEX($C$51:$E$51,D110),INDEX($C$44:$E$44,D110)*(1+'02_Plan'!$B$32),0)</f>
        <v>2.8334274193548389E-2</v>
      </c>
      <c r="T110" s="19">
        <f t="shared" si="33"/>
        <v>0</v>
      </c>
      <c r="U110" s="19">
        <f t="shared" si="34"/>
        <v>0</v>
      </c>
      <c r="V110" s="19">
        <f t="shared" si="35"/>
        <v>0</v>
      </c>
      <c r="W110" s="19">
        <f t="shared" si="36"/>
        <v>0</v>
      </c>
      <c r="X110" s="19">
        <f t="shared" si="37"/>
        <v>0</v>
      </c>
      <c r="Y110" s="19">
        <f>IF(A110=INDEX($C$50:$E$50,D110)+4,INDEX($C$46:$E$46,D110)*0.3*(1+'02_Plan'!$B$32),0)+IF(A110=INDEX($C$50:$E$50,D110)+9,INDEX($C$46:$E$46,D110)*0.7*(1+'02_Plan'!$B$32),0)</f>
        <v>0</v>
      </c>
      <c r="Z110" s="19">
        <f>IF(A110=INDEX($C$50:$E$50,D110)+14,INDEX($C$47:$E$47,D110)*(1+'02_Plan'!$B$32),0)</f>
        <v>0</v>
      </c>
      <c r="AA110" s="19">
        <f t="shared" si="38"/>
        <v>0</v>
      </c>
      <c r="AB110" s="19">
        <f t="shared" si="39"/>
        <v>0.11390974575268817</v>
      </c>
      <c r="AC110" s="19">
        <f t="shared" si="40"/>
        <v>0.12376865903763443</v>
      </c>
      <c r="AD110" s="19">
        <f t="shared" si="41"/>
        <v>-9.858913284946258E-3</v>
      </c>
    </row>
    <row r="111" spans="1:30" x14ac:dyDescent="0.35">
      <c r="A111" s="14">
        <v>46</v>
      </c>
      <c r="B111" s="30">
        <f t="shared" si="21"/>
        <v>46159</v>
      </c>
      <c r="C111" s="23">
        <f t="shared" si="22"/>
        <v>7</v>
      </c>
      <c r="D111" s="23">
        <f t="shared" si="23"/>
        <v>2</v>
      </c>
      <c r="E111" s="22">
        <f t="shared" si="24"/>
        <v>173.65591397849462</v>
      </c>
      <c r="F111" s="22">
        <f t="shared" si="25"/>
        <v>205.64516129032259</v>
      </c>
      <c r="G111" s="22">
        <f t="shared" si="26"/>
        <v>114.24731182795698</v>
      </c>
      <c r="H111" s="19">
        <f t="shared" si="27"/>
        <v>5.6984587813620043E-2</v>
      </c>
      <c r="I111" s="19">
        <f>(E111*$B$20+F111*$B$21+G111*$B$22)*(1+'02_Plan'!$B$32)/10000000</f>
        <v>1.0032022177419357E-2</v>
      </c>
      <c r="J111" s="19">
        <f>INDEX($C$43:$E$43,D111)/INDEX($C$49:$E$49,D111)*(1+'02_Plan'!$B$32)</f>
        <v>2.8334274193548389E-2</v>
      </c>
      <c r="K111" s="19">
        <f t="shared" si="28"/>
        <v>4.8257103010752686E-2</v>
      </c>
      <c r="L111" s="19">
        <f t="shared" si="29"/>
        <v>4.0577642741935482E-2</v>
      </c>
      <c r="M111" s="19">
        <f t="shared" si="30"/>
        <v>2.5075E-2</v>
      </c>
      <c r="N111" s="19">
        <f>IF(OR(A111=29,A111=60,A111=90),$B$34*'02_Plan'!$B$25/12,0)</f>
        <v>0</v>
      </c>
      <c r="O111" s="19">
        <f>IF(A111&gt;=$B$7,INDEX($H$65:$H$155,A111-$B$7+1),0)*'02_Plan'!$B$31*(1+'02_Plan'!$B$32)+IF(A111&lt;=$I$7,$H$7/($I$7+1),0)</f>
        <v>7.0069029333333338E-2</v>
      </c>
      <c r="P111" s="19">
        <f>IF(A111&gt;=60,INDEX($H$65:$H$155,A111-60+1),0)*(1-'02_Plan'!$B$31)*(1+'02_Plan'!$B$32)+IF(A111&lt;=$I$8,$H$8/($I$8+1),0)</f>
        <v>1.5333333333333334E-2</v>
      </c>
      <c r="Q111" s="19">
        <f t="shared" si="31"/>
        <v>0</v>
      </c>
      <c r="R111" s="19">
        <f t="shared" si="32"/>
        <v>1.0032022177419357E-2</v>
      </c>
      <c r="S111" s="19">
        <f>J111+IF(A111=INDEX($C$51:$E$51,D111),INDEX($C$44:$E$44,D111)*(1+'02_Plan'!$B$32),0)</f>
        <v>2.8334274193548389E-2</v>
      </c>
      <c r="T111" s="19">
        <f t="shared" si="33"/>
        <v>0</v>
      </c>
      <c r="U111" s="19">
        <f t="shared" si="34"/>
        <v>0</v>
      </c>
      <c r="V111" s="19">
        <f t="shared" si="35"/>
        <v>0</v>
      </c>
      <c r="W111" s="19">
        <f t="shared" si="36"/>
        <v>0</v>
      </c>
      <c r="X111" s="19">
        <f t="shared" si="37"/>
        <v>0</v>
      </c>
      <c r="Y111" s="19">
        <f>IF(A111=INDEX($C$50:$E$50,D111)+4,INDEX($C$46:$E$46,D111)*0.3*(1+'02_Plan'!$B$32),0)+IF(A111=INDEX($C$50:$E$50,D111)+9,INDEX($C$46:$E$46,D111)*0.7*(1+'02_Plan'!$B$32),0)</f>
        <v>0</v>
      </c>
      <c r="Z111" s="19">
        <f>IF(A111=INDEX($C$50:$E$50,D111)+14,INDEX($C$47:$E$47,D111)*(1+'02_Plan'!$B$32),0)</f>
        <v>0</v>
      </c>
      <c r="AA111" s="19">
        <f t="shared" si="38"/>
        <v>0</v>
      </c>
      <c r="AB111" s="19">
        <f t="shared" si="39"/>
        <v>0.11390974575268817</v>
      </c>
      <c r="AC111" s="19">
        <f t="shared" si="40"/>
        <v>0.12376865903763443</v>
      </c>
      <c r="AD111" s="19">
        <f t="shared" si="41"/>
        <v>-9.858913284946258E-3</v>
      </c>
    </row>
    <row r="112" spans="1:30" x14ac:dyDescent="0.35">
      <c r="A112" s="14">
        <v>47</v>
      </c>
      <c r="B112" s="30">
        <f t="shared" si="21"/>
        <v>46160</v>
      </c>
      <c r="C112" s="23">
        <f t="shared" si="22"/>
        <v>7</v>
      </c>
      <c r="D112" s="23">
        <f t="shared" si="23"/>
        <v>2</v>
      </c>
      <c r="E112" s="22">
        <f t="shared" si="24"/>
        <v>173.65591397849462</v>
      </c>
      <c r="F112" s="22">
        <f t="shared" si="25"/>
        <v>205.64516129032259</v>
      </c>
      <c r="G112" s="22">
        <f t="shared" si="26"/>
        <v>114.24731182795698</v>
      </c>
      <c r="H112" s="19">
        <f t="shared" si="27"/>
        <v>5.6984587813620043E-2</v>
      </c>
      <c r="I112" s="19">
        <f>(E112*$B$20+F112*$B$21+G112*$B$22)*(1+'02_Plan'!$B$32)/10000000</f>
        <v>1.0032022177419357E-2</v>
      </c>
      <c r="J112" s="19">
        <f>INDEX($C$43:$E$43,D112)/INDEX($C$49:$E$49,D112)*(1+'02_Plan'!$B$32)</f>
        <v>2.8334274193548389E-2</v>
      </c>
      <c r="K112" s="19">
        <f t="shared" si="28"/>
        <v>4.8257103010752686E-2</v>
      </c>
      <c r="L112" s="19">
        <f t="shared" si="29"/>
        <v>4.0577642741935482E-2</v>
      </c>
      <c r="M112" s="19">
        <f t="shared" si="30"/>
        <v>2.5075E-2</v>
      </c>
      <c r="N112" s="19">
        <f>IF(OR(A112=29,A112=60,A112=90),$B$34*'02_Plan'!$B$25/12,0)</f>
        <v>0</v>
      </c>
      <c r="O112" s="19">
        <f>IF(A112&gt;=$B$7,INDEX($H$65:$H$155,A112-$B$7+1),0)*'02_Plan'!$B$31*(1+'02_Plan'!$B$32)+IF(A112&lt;=$I$7,$H$7/($I$7+1),0)</f>
        <v>7.0069029333333338E-2</v>
      </c>
      <c r="P112" s="19">
        <f>IF(A112&gt;=60,INDEX($H$65:$H$155,A112-60+1),0)*(1-'02_Plan'!$B$31)*(1+'02_Plan'!$B$32)+IF(A112&lt;=$I$8,$H$8/($I$8+1),0)</f>
        <v>1.5333333333333334E-2</v>
      </c>
      <c r="Q112" s="19">
        <f t="shared" si="31"/>
        <v>0</v>
      </c>
      <c r="R112" s="19">
        <f t="shared" si="32"/>
        <v>1.0032022177419357E-2</v>
      </c>
      <c r="S112" s="19">
        <f>J112+IF(A112=INDEX($C$51:$E$51,D112),INDEX($C$44:$E$44,D112)*(1+'02_Plan'!$B$32),0)</f>
        <v>2.8334274193548389E-2</v>
      </c>
      <c r="T112" s="19">
        <f t="shared" si="33"/>
        <v>0</v>
      </c>
      <c r="U112" s="19">
        <f t="shared" si="34"/>
        <v>0</v>
      </c>
      <c r="V112" s="19">
        <f t="shared" si="35"/>
        <v>0</v>
      </c>
      <c r="W112" s="19">
        <f t="shared" si="36"/>
        <v>0</v>
      </c>
      <c r="X112" s="19">
        <f t="shared" si="37"/>
        <v>0</v>
      </c>
      <c r="Y112" s="19">
        <f>IF(A112=INDEX($C$50:$E$50,D112)+4,INDEX($C$46:$E$46,D112)*0.3*(1+'02_Plan'!$B$32),0)+IF(A112=INDEX($C$50:$E$50,D112)+9,INDEX($C$46:$E$46,D112)*0.7*(1+'02_Plan'!$B$32),0)</f>
        <v>0</v>
      </c>
      <c r="Z112" s="19">
        <f>IF(A112=INDEX($C$50:$E$50,D112)+14,INDEX($C$47:$E$47,D112)*(1+'02_Plan'!$B$32),0)</f>
        <v>0</v>
      </c>
      <c r="AA112" s="19">
        <f t="shared" si="38"/>
        <v>0</v>
      </c>
      <c r="AB112" s="19">
        <f t="shared" si="39"/>
        <v>0.11390974575268817</v>
      </c>
      <c r="AC112" s="19">
        <f t="shared" si="40"/>
        <v>0.12376865903763443</v>
      </c>
      <c r="AD112" s="19">
        <f t="shared" si="41"/>
        <v>-9.858913284946258E-3</v>
      </c>
    </row>
    <row r="113" spans="1:30" x14ac:dyDescent="0.35">
      <c r="A113" s="14">
        <v>48</v>
      </c>
      <c r="B113" s="30">
        <f t="shared" si="21"/>
        <v>46161</v>
      </c>
      <c r="C113" s="23">
        <f t="shared" si="22"/>
        <v>7</v>
      </c>
      <c r="D113" s="23">
        <f t="shared" si="23"/>
        <v>2</v>
      </c>
      <c r="E113" s="22">
        <f t="shared" si="24"/>
        <v>173.65591397849462</v>
      </c>
      <c r="F113" s="22">
        <f t="shared" si="25"/>
        <v>205.64516129032259</v>
      </c>
      <c r="G113" s="22">
        <f t="shared" si="26"/>
        <v>114.24731182795698</v>
      </c>
      <c r="H113" s="19">
        <f t="shared" si="27"/>
        <v>5.6984587813620043E-2</v>
      </c>
      <c r="I113" s="19">
        <f>(E113*$B$20+F113*$B$21+G113*$B$22)*(1+'02_Plan'!$B$32)/10000000</f>
        <v>1.0032022177419357E-2</v>
      </c>
      <c r="J113" s="19">
        <f>INDEX($C$43:$E$43,D113)/INDEX($C$49:$E$49,D113)*(1+'02_Plan'!$B$32)</f>
        <v>2.8334274193548389E-2</v>
      </c>
      <c r="K113" s="19">
        <f t="shared" si="28"/>
        <v>4.8257103010752686E-2</v>
      </c>
      <c r="L113" s="19">
        <f t="shared" si="29"/>
        <v>4.0577642741935482E-2</v>
      </c>
      <c r="M113" s="19">
        <f t="shared" si="30"/>
        <v>2.5075E-2</v>
      </c>
      <c r="N113" s="19">
        <f>IF(OR(A113=29,A113=60,A113=90),$B$34*'02_Plan'!$B$25/12,0)</f>
        <v>0</v>
      </c>
      <c r="O113" s="19">
        <f>IF(A113&gt;=$B$7,INDEX($H$65:$H$155,A113-$B$7+1),0)*'02_Plan'!$B$31*(1+'02_Plan'!$B$32)+IF(A113&lt;=$I$7,$H$7/($I$7+1),0)</f>
        <v>7.0069029333333338E-2</v>
      </c>
      <c r="P113" s="19">
        <f>IF(A113&gt;=60,INDEX($H$65:$H$155,A113-60+1),0)*(1-'02_Plan'!$B$31)*(1+'02_Plan'!$B$32)+IF(A113&lt;=$I$8,$H$8/($I$8+1),0)</f>
        <v>1.5333333333333334E-2</v>
      </c>
      <c r="Q113" s="19">
        <f t="shared" si="31"/>
        <v>0</v>
      </c>
      <c r="R113" s="19">
        <f t="shared" si="32"/>
        <v>1.0032022177419357E-2</v>
      </c>
      <c r="S113" s="19">
        <f>J113+IF(A113=INDEX($C$51:$E$51,D113),INDEX($C$44:$E$44,D113)*(1+'02_Plan'!$B$32),0)</f>
        <v>2.8334274193548389E-2</v>
      </c>
      <c r="T113" s="19">
        <f t="shared" si="33"/>
        <v>0</v>
      </c>
      <c r="U113" s="19">
        <f t="shared" si="34"/>
        <v>0</v>
      </c>
      <c r="V113" s="19">
        <f t="shared" si="35"/>
        <v>0</v>
      </c>
      <c r="W113" s="19">
        <f t="shared" si="36"/>
        <v>0</v>
      </c>
      <c r="X113" s="19">
        <f t="shared" si="37"/>
        <v>0</v>
      </c>
      <c r="Y113" s="19">
        <f>IF(A113=INDEX($C$50:$E$50,D113)+4,INDEX($C$46:$E$46,D113)*0.3*(1+'02_Plan'!$B$32),0)+IF(A113=INDEX($C$50:$E$50,D113)+9,INDEX($C$46:$E$46,D113)*0.7*(1+'02_Plan'!$B$32),0)</f>
        <v>0</v>
      </c>
      <c r="Z113" s="19">
        <f>IF(A113=INDEX($C$50:$E$50,D113)+14,INDEX($C$47:$E$47,D113)*(1+'02_Plan'!$B$32),0)</f>
        <v>0</v>
      </c>
      <c r="AA113" s="19">
        <f t="shared" si="38"/>
        <v>0</v>
      </c>
      <c r="AB113" s="19">
        <f t="shared" si="39"/>
        <v>0.11390974575268817</v>
      </c>
      <c r="AC113" s="19">
        <f t="shared" si="40"/>
        <v>0.12376865903763443</v>
      </c>
      <c r="AD113" s="19">
        <f t="shared" si="41"/>
        <v>-9.858913284946258E-3</v>
      </c>
    </row>
    <row r="114" spans="1:30" x14ac:dyDescent="0.35">
      <c r="A114" s="14">
        <v>49</v>
      </c>
      <c r="B114" s="30">
        <f t="shared" si="21"/>
        <v>46162</v>
      </c>
      <c r="C114" s="23">
        <f t="shared" si="22"/>
        <v>8</v>
      </c>
      <c r="D114" s="23">
        <f t="shared" si="23"/>
        <v>2</v>
      </c>
      <c r="E114" s="22">
        <f t="shared" si="24"/>
        <v>173.65591397849462</v>
      </c>
      <c r="F114" s="22">
        <f t="shared" si="25"/>
        <v>205.64516129032259</v>
      </c>
      <c r="G114" s="22">
        <f t="shared" si="26"/>
        <v>114.24731182795698</v>
      </c>
      <c r="H114" s="19">
        <f t="shared" si="27"/>
        <v>5.6984587813620043E-2</v>
      </c>
      <c r="I114" s="19">
        <f>(E114*$B$20+F114*$B$21+G114*$B$22)*(1+'02_Plan'!$B$32)/10000000</f>
        <v>1.0032022177419357E-2</v>
      </c>
      <c r="J114" s="19">
        <f>INDEX($C$43:$E$43,D114)/INDEX($C$49:$E$49,D114)*(1+'02_Plan'!$B$32)</f>
        <v>2.8334274193548389E-2</v>
      </c>
      <c r="K114" s="19">
        <f t="shared" si="28"/>
        <v>4.8257103010752686E-2</v>
      </c>
      <c r="L114" s="19">
        <f t="shared" si="29"/>
        <v>4.0577642741935482E-2</v>
      </c>
      <c r="M114" s="19">
        <f t="shared" si="30"/>
        <v>2.5075E-2</v>
      </c>
      <c r="N114" s="19">
        <f>IF(OR(A114=29,A114=60,A114=90),$B$34*'02_Plan'!$B$25/12,0)</f>
        <v>0</v>
      </c>
      <c r="O114" s="19">
        <f>IF(A114&gt;=$B$7,INDEX($H$65:$H$155,A114-$B$7+1),0)*'02_Plan'!$B$31*(1+'02_Plan'!$B$32)+IF(A114&lt;=$I$7,$H$7/($I$7+1),0)</f>
        <v>7.0069029333333338E-2</v>
      </c>
      <c r="P114" s="19">
        <f>IF(A114&gt;=60,INDEX($H$65:$H$155,A114-60+1),0)*(1-'02_Plan'!$B$31)*(1+'02_Plan'!$B$32)+IF(A114&lt;=$I$8,$H$8/($I$8+1),0)</f>
        <v>1.5333333333333334E-2</v>
      </c>
      <c r="Q114" s="19">
        <f t="shared" si="31"/>
        <v>0</v>
      </c>
      <c r="R114" s="19">
        <f t="shared" si="32"/>
        <v>1.0032022177419357E-2</v>
      </c>
      <c r="S114" s="19">
        <f>J114+IF(A114=INDEX($C$51:$E$51,D114),INDEX($C$44:$E$44,D114)*(1+'02_Plan'!$B$32),0)</f>
        <v>2.8334274193548389E-2</v>
      </c>
      <c r="T114" s="19">
        <f t="shared" si="33"/>
        <v>0</v>
      </c>
      <c r="U114" s="19">
        <f t="shared" si="34"/>
        <v>0</v>
      </c>
      <c r="V114" s="19">
        <f t="shared" si="35"/>
        <v>0</v>
      </c>
      <c r="W114" s="19">
        <f t="shared" si="36"/>
        <v>0</v>
      </c>
      <c r="X114" s="19">
        <f t="shared" si="37"/>
        <v>9.7749999999999985E-4</v>
      </c>
      <c r="Y114" s="19">
        <f>IF(A114=INDEX($C$50:$E$50,D114)+4,INDEX($C$46:$E$46,D114)*0.3*(1+'02_Plan'!$B$32),0)+IF(A114=INDEX($C$50:$E$50,D114)+9,INDEX($C$46:$E$46,D114)*0.7*(1+'02_Plan'!$B$32),0)</f>
        <v>0</v>
      </c>
      <c r="Z114" s="19">
        <f>IF(A114=INDEX($C$50:$E$50,D114)+14,INDEX($C$47:$E$47,D114)*(1+'02_Plan'!$B$32),0)</f>
        <v>0</v>
      </c>
      <c r="AA114" s="19">
        <f t="shared" si="38"/>
        <v>0</v>
      </c>
      <c r="AB114" s="19">
        <f t="shared" si="39"/>
        <v>0.11390974575268817</v>
      </c>
      <c r="AC114" s="19">
        <f t="shared" si="40"/>
        <v>0.12474615903763443</v>
      </c>
      <c r="AD114" s="19">
        <f t="shared" si="41"/>
        <v>-1.0836413284946264E-2</v>
      </c>
    </row>
    <row r="115" spans="1:30" x14ac:dyDescent="0.35">
      <c r="A115" s="14">
        <v>50</v>
      </c>
      <c r="B115" s="30">
        <f t="shared" si="21"/>
        <v>46163</v>
      </c>
      <c r="C115" s="23">
        <f t="shared" si="22"/>
        <v>8</v>
      </c>
      <c r="D115" s="23">
        <f t="shared" si="23"/>
        <v>2</v>
      </c>
      <c r="E115" s="22">
        <f t="shared" si="24"/>
        <v>173.65591397849462</v>
      </c>
      <c r="F115" s="22">
        <f t="shared" si="25"/>
        <v>205.64516129032259</v>
      </c>
      <c r="G115" s="22">
        <f t="shared" si="26"/>
        <v>114.24731182795698</v>
      </c>
      <c r="H115" s="19">
        <f t="shared" si="27"/>
        <v>5.6984587813620043E-2</v>
      </c>
      <c r="I115" s="19">
        <f>(E115*$B$20+F115*$B$21+G115*$B$22)*(1+'02_Plan'!$B$32)/10000000</f>
        <v>1.0032022177419357E-2</v>
      </c>
      <c r="J115" s="19">
        <f>INDEX($C$43:$E$43,D115)/INDEX($C$49:$E$49,D115)*(1+'02_Plan'!$B$32)</f>
        <v>2.8334274193548389E-2</v>
      </c>
      <c r="K115" s="19">
        <f t="shared" si="28"/>
        <v>4.8257103010752686E-2</v>
      </c>
      <c r="L115" s="19">
        <f t="shared" si="29"/>
        <v>4.0577642741935482E-2</v>
      </c>
      <c r="M115" s="19">
        <f t="shared" si="30"/>
        <v>2.5075E-2</v>
      </c>
      <c r="N115" s="19">
        <f>IF(OR(A115=29,A115=60,A115=90),$B$34*'02_Plan'!$B$25/12,0)</f>
        <v>0</v>
      </c>
      <c r="O115" s="19">
        <f>IF(A115&gt;=$B$7,INDEX($H$65:$H$155,A115-$B$7+1),0)*'02_Plan'!$B$31*(1+'02_Plan'!$B$32)+IF(A115&lt;=$I$7,$H$7/($I$7+1),0)</f>
        <v>7.0069029333333338E-2</v>
      </c>
      <c r="P115" s="19">
        <f>IF(A115&gt;=60,INDEX($H$65:$H$155,A115-60+1),0)*(1-'02_Plan'!$B$31)*(1+'02_Plan'!$B$32)+IF(A115&lt;=$I$8,$H$8/($I$8+1),0)</f>
        <v>1.5333333333333334E-2</v>
      </c>
      <c r="Q115" s="19">
        <f t="shared" si="31"/>
        <v>0</v>
      </c>
      <c r="R115" s="19">
        <f t="shared" si="32"/>
        <v>1.0032022177419357E-2</v>
      </c>
      <c r="S115" s="19">
        <f>J115+IF(A115=INDEX($C$51:$E$51,D115),INDEX($C$44:$E$44,D115)*(1+'02_Plan'!$B$32),0)</f>
        <v>2.8334274193548389E-2</v>
      </c>
      <c r="T115" s="19">
        <f t="shared" si="33"/>
        <v>0</v>
      </c>
      <c r="U115" s="19">
        <f t="shared" si="34"/>
        <v>0</v>
      </c>
      <c r="V115" s="19">
        <f t="shared" si="35"/>
        <v>0</v>
      </c>
      <c r="W115" s="19">
        <f t="shared" si="36"/>
        <v>0</v>
      </c>
      <c r="X115" s="19">
        <f t="shared" si="37"/>
        <v>0</v>
      </c>
      <c r="Y115" s="19">
        <f>IF(A115=INDEX($C$50:$E$50,D115)+4,INDEX($C$46:$E$46,D115)*0.3*(1+'02_Plan'!$B$32),0)+IF(A115=INDEX($C$50:$E$50,D115)+9,INDEX($C$46:$E$46,D115)*0.7*(1+'02_Plan'!$B$32),0)</f>
        <v>0</v>
      </c>
      <c r="Z115" s="19">
        <f>IF(A115=INDEX($C$50:$E$50,D115)+14,INDEX($C$47:$E$47,D115)*(1+'02_Plan'!$B$32),0)</f>
        <v>0</v>
      </c>
      <c r="AA115" s="19">
        <f t="shared" si="38"/>
        <v>0</v>
      </c>
      <c r="AB115" s="19">
        <f t="shared" si="39"/>
        <v>0.11390974575268817</v>
      </c>
      <c r="AC115" s="19">
        <f t="shared" si="40"/>
        <v>0.12376865903763443</v>
      </c>
      <c r="AD115" s="19">
        <f t="shared" si="41"/>
        <v>-9.858913284946258E-3</v>
      </c>
    </row>
    <row r="116" spans="1:30" x14ac:dyDescent="0.35">
      <c r="A116" s="14">
        <v>51</v>
      </c>
      <c r="B116" s="30">
        <f t="shared" si="21"/>
        <v>46164</v>
      </c>
      <c r="C116" s="23">
        <f t="shared" si="22"/>
        <v>8</v>
      </c>
      <c r="D116" s="23">
        <f t="shared" si="23"/>
        <v>2</v>
      </c>
      <c r="E116" s="22">
        <f t="shared" si="24"/>
        <v>173.65591397849462</v>
      </c>
      <c r="F116" s="22">
        <f t="shared" si="25"/>
        <v>205.64516129032259</v>
      </c>
      <c r="G116" s="22">
        <f t="shared" si="26"/>
        <v>114.24731182795698</v>
      </c>
      <c r="H116" s="19">
        <f t="shared" si="27"/>
        <v>5.6984587813620043E-2</v>
      </c>
      <c r="I116" s="19">
        <f>(E116*$B$20+F116*$B$21+G116*$B$22)*(1+'02_Plan'!$B$32)/10000000</f>
        <v>1.0032022177419357E-2</v>
      </c>
      <c r="J116" s="19">
        <f>INDEX($C$43:$E$43,D116)/INDEX($C$49:$E$49,D116)*(1+'02_Plan'!$B$32)</f>
        <v>2.8334274193548389E-2</v>
      </c>
      <c r="K116" s="19">
        <f t="shared" si="28"/>
        <v>4.8257103010752686E-2</v>
      </c>
      <c r="L116" s="19">
        <f t="shared" si="29"/>
        <v>4.0577642741935482E-2</v>
      </c>
      <c r="M116" s="19">
        <f t="shared" si="30"/>
        <v>2.5075E-2</v>
      </c>
      <c r="N116" s="19">
        <f>IF(OR(A116=29,A116=60,A116=90),$B$34*'02_Plan'!$B$25/12,0)</f>
        <v>0</v>
      </c>
      <c r="O116" s="19">
        <f>IF(A116&gt;=$B$7,INDEX($H$65:$H$155,A116-$B$7+1),0)*'02_Plan'!$B$31*(1+'02_Plan'!$B$32)+IF(A116&lt;=$I$7,$H$7/($I$7+1),0)</f>
        <v>7.0069029333333338E-2</v>
      </c>
      <c r="P116" s="19">
        <f>IF(A116&gt;=60,INDEX($H$65:$H$155,A116-60+1),0)*(1-'02_Plan'!$B$31)*(1+'02_Plan'!$B$32)+IF(A116&lt;=$I$8,$H$8/($I$8+1),0)</f>
        <v>1.5333333333333334E-2</v>
      </c>
      <c r="Q116" s="19">
        <f t="shared" si="31"/>
        <v>0</v>
      </c>
      <c r="R116" s="19">
        <f t="shared" si="32"/>
        <v>1.0032022177419357E-2</v>
      </c>
      <c r="S116" s="19">
        <f>J116+IF(A116=INDEX($C$51:$E$51,D116),INDEX($C$44:$E$44,D116)*(1+'02_Plan'!$B$32),0)</f>
        <v>2.8334274193548389E-2</v>
      </c>
      <c r="T116" s="19">
        <f t="shared" si="33"/>
        <v>0</v>
      </c>
      <c r="U116" s="19">
        <f t="shared" si="34"/>
        <v>0</v>
      </c>
      <c r="V116" s="19">
        <f t="shared" si="35"/>
        <v>0</v>
      </c>
      <c r="W116" s="19">
        <f t="shared" si="36"/>
        <v>0</v>
      </c>
      <c r="X116" s="19">
        <f t="shared" si="37"/>
        <v>0</v>
      </c>
      <c r="Y116" s="19">
        <f>IF(A116=INDEX($C$50:$E$50,D116)+4,INDEX($C$46:$E$46,D116)*0.3*(1+'02_Plan'!$B$32),0)+IF(A116=INDEX($C$50:$E$50,D116)+9,INDEX($C$46:$E$46,D116)*0.7*(1+'02_Plan'!$B$32),0)</f>
        <v>0</v>
      </c>
      <c r="Z116" s="19">
        <f>IF(A116=INDEX($C$50:$E$50,D116)+14,INDEX($C$47:$E$47,D116)*(1+'02_Plan'!$B$32),0)</f>
        <v>0</v>
      </c>
      <c r="AA116" s="19">
        <f t="shared" si="38"/>
        <v>0</v>
      </c>
      <c r="AB116" s="19">
        <f t="shared" si="39"/>
        <v>0.11390974575268817</v>
      </c>
      <c r="AC116" s="19">
        <f t="shared" si="40"/>
        <v>0.12376865903763443</v>
      </c>
      <c r="AD116" s="19">
        <f t="shared" si="41"/>
        <v>-9.858913284946258E-3</v>
      </c>
    </row>
    <row r="117" spans="1:30" x14ac:dyDescent="0.35">
      <c r="A117" s="14">
        <v>52</v>
      </c>
      <c r="B117" s="30">
        <f t="shared" si="21"/>
        <v>46165</v>
      </c>
      <c r="C117" s="23">
        <f t="shared" si="22"/>
        <v>8</v>
      </c>
      <c r="D117" s="23">
        <f t="shared" si="23"/>
        <v>2</v>
      </c>
      <c r="E117" s="22">
        <f t="shared" si="24"/>
        <v>173.65591397849462</v>
      </c>
      <c r="F117" s="22">
        <f t="shared" si="25"/>
        <v>205.64516129032259</v>
      </c>
      <c r="G117" s="22">
        <f t="shared" si="26"/>
        <v>114.24731182795698</v>
      </c>
      <c r="H117" s="19">
        <f t="shared" si="27"/>
        <v>5.6984587813620043E-2</v>
      </c>
      <c r="I117" s="19">
        <f>(E117*$B$20+F117*$B$21+G117*$B$22)*(1+'02_Plan'!$B$32)/10000000</f>
        <v>1.0032022177419357E-2</v>
      </c>
      <c r="J117" s="19">
        <f>INDEX($C$43:$E$43,D117)/INDEX($C$49:$E$49,D117)*(1+'02_Plan'!$B$32)</f>
        <v>2.8334274193548389E-2</v>
      </c>
      <c r="K117" s="19">
        <f t="shared" si="28"/>
        <v>4.8257103010752686E-2</v>
      </c>
      <c r="L117" s="19">
        <f t="shared" si="29"/>
        <v>4.0577642741935482E-2</v>
      </c>
      <c r="M117" s="19">
        <f t="shared" si="30"/>
        <v>2.5075E-2</v>
      </c>
      <c r="N117" s="19">
        <f>IF(OR(A117=29,A117=60,A117=90),$B$34*'02_Plan'!$B$25/12,0)</f>
        <v>0</v>
      </c>
      <c r="O117" s="19">
        <f>IF(A117&gt;=$B$7,INDEX($H$65:$H$155,A117-$B$7+1),0)*'02_Plan'!$B$31*(1+'02_Plan'!$B$32)+IF(A117&lt;=$I$7,$H$7/($I$7+1),0)</f>
        <v>7.0069029333333338E-2</v>
      </c>
      <c r="P117" s="19">
        <f>IF(A117&gt;=60,INDEX($H$65:$H$155,A117-60+1),0)*(1-'02_Plan'!$B$31)*(1+'02_Plan'!$B$32)+IF(A117&lt;=$I$8,$H$8/($I$8+1),0)</f>
        <v>1.5333333333333334E-2</v>
      </c>
      <c r="Q117" s="19">
        <f t="shared" si="31"/>
        <v>0</v>
      </c>
      <c r="R117" s="19">
        <f t="shared" si="32"/>
        <v>1.0032022177419357E-2</v>
      </c>
      <c r="S117" s="19">
        <f>J117+IF(A117=INDEX($C$51:$E$51,D117),INDEX($C$44:$E$44,D117)*(1+'02_Plan'!$B$32),0)</f>
        <v>2.8334274193548389E-2</v>
      </c>
      <c r="T117" s="19">
        <f t="shared" si="33"/>
        <v>0</v>
      </c>
      <c r="U117" s="19">
        <f t="shared" si="34"/>
        <v>0</v>
      </c>
      <c r="V117" s="19">
        <f t="shared" si="35"/>
        <v>0</v>
      </c>
      <c r="W117" s="19">
        <f t="shared" si="36"/>
        <v>0</v>
      </c>
      <c r="X117" s="19">
        <f t="shared" si="37"/>
        <v>0</v>
      </c>
      <c r="Y117" s="19">
        <f>IF(A117=INDEX($C$50:$E$50,D117)+4,INDEX($C$46:$E$46,D117)*0.3*(1+'02_Plan'!$B$32),0)+IF(A117=INDEX($C$50:$E$50,D117)+9,INDEX($C$46:$E$46,D117)*0.7*(1+'02_Plan'!$B$32),0)</f>
        <v>0</v>
      </c>
      <c r="Z117" s="19">
        <f>IF(A117=INDEX($C$50:$E$50,D117)+14,INDEX($C$47:$E$47,D117)*(1+'02_Plan'!$B$32),0)</f>
        <v>0</v>
      </c>
      <c r="AA117" s="19">
        <f t="shared" si="38"/>
        <v>0</v>
      </c>
      <c r="AB117" s="19">
        <f t="shared" si="39"/>
        <v>0.11390974575268817</v>
      </c>
      <c r="AC117" s="19">
        <f t="shared" si="40"/>
        <v>0.12376865903763443</v>
      </c>
      <c r="AD117" s="19">
        <f t="shared" si="41"/>
        <v>-9.858913284946258E-3</v>
      </c>
    </row>
    <row r="118" spans="1:30" x14ac:dyDescent="0.35">
      <c r="A118" s="14">
        <v>53</v>
      </c>
      <c r="B118" s="30">
        <f t="shared" si="21"/>
        <v>46166</v>
      </c>
      <c r="C118" s="23">
        <f t="shared" si="22"/>
        <v>8</v>
      </c>
      <c r="D118" s="23">
        <f t="shared" si="23"/>
        <v>2</v>
      </c>
      <c r="E118" s="22">
        <f t="shared" si="24"/>
        <v>173.65591397849462</v>
      </c>
      <c r="F118" s="22">
        <f t="shared" si="25"/>
        <v>205.64516129032259</v>
      </c>
      <c r="G118" s="22">
        <f t="shared" si="26"/>
        <v>114.24731182795698</v>
      </c>
      <c r="H118" s="19">
        <f t="shared" si="27"/>
        <v>5.6984587813620043E-2</v>
      </c>
      <c r="I118" s="19">
        <f>(E118*$B$20+F118*$B$21+G118*$B$22)*(1+'02_Plan'!$B$32)/10000000</f>
        <v>1.0032022177419357E-2</v>
      </c>
      <c r="J118" s="19">
        <f>INDEX($C$43:$E$43,D118)/INDEX($C$49:$E$49,D118)*(1+'02_Plan'!$B$32)</f>
        <v>2.8334274193548389E-2</v>
      </c>
      <c r="K118" s="19">
        <f t="shared" si="28"/>
        <v>4.8257103010752686E-2</v>
      </c>
      <c r="L118" s="19">
        <f t="shared" si="29"/>
        <v>4.0577642741935482E-2</v>
      </c>
      <c r="M118" s="19">
        <f t="shared" si="30"/>
        <v>2.5075E-2</v>
      </c>
      <c r="N118" s="19">
        <f>IF(OR(A118=29,A118=60,A118=90),$B$34*'02_Plan'!$B$25/12,0)</f>
        <v>0</v>
      </c>
      <c r="O118" s="19">
        <f>IF(A118&gt;=$B$7,INDEX($H$65:$H$155,A118-$B$7+1),0)*'02_Plan'!$B$31*(1+'02_Plan'!$B$32)+IF(A118&lt;=$I$7,$H$7/($I$7+1),0)</f>
        <v>7.0069029333333338E-2</v>
      </c>
      <c r="P118" s="19">
        <f>IF(A118&gt;=60,INDEX($H$65:$H$155,A118-60+1),0)*(1-'02_Plan'!$B$31)*(1+'02_Plan'!$B$32)+IF(A118&lt;=$I$8,$H$8/($I$8+1),0)</f>
        <v>1.5333333333333334E-2</v>
      </c>
      <c r="Q118" s="19">
        <f t="shared" si="31"/>
        <v>0</v>
      </c>
      <c r="R118" s="19">
        <f t="shared" si="32"/>
        <v>1.0032022177419357E-2</v>
      </c>
      <c r="S118" s="19">
        <f>J118+IF(A118=INDEX($C$51:$E$51,D118),INDEX($C$44:$E$44,D118)*(1+'02_Plan'!$B$32),0)</f>
        <v>2.8334274193548389E-2</v>
      </c>
      <c r="T118" s="19">
        <f t="shared" si="33"/>
        <v>0</v>
      </c>
      <c r="U118" s="19">
        <f t="shared" si="34"/>
        <v>0</v>
      </c>
      <c r="V118" s="19">
        <f t="shared" si="35"/>
        <v>0</v>
      </c>
      <c r="W118" s="19">
        <f t="shared" si="36"/>
        <v>0</v>
      </c>
      <c r="X118" s="19">
        <f t="shared" si="37"/>
        <v>0</v>
      </c>
      <c r="Y118" s="19">
        <f>IF(A118=INDEX($C$50:$E$50,D118)+4,INDEX($C$46:$E$46,D118)*0.3*(1+'02_Plan'!$B$32),0)+IF(A118=INDEX($C$50:$E$50,D118)+9,INDEX($C$46:$E$46,D118)*0.7*(1+'02_Plan'!$B$32),0)</f>
        <v>0</v>
      </c>
      <c r="Z118" s="19">
        <f>IF(A118=INDEX($C$50:$E$50,D118)+14,INDEX($C$47:$E$47,D118)*(1+'02_Plan'!$B$32),0)</f>
        <v>0</v>
      </c>
      <c r="AA118" s="19">
        <f t="shared" si="38"/>
        <v>0</v>
      </c>
      <c r="AB118" s="19">
        <f t="shared" si="39"/>
        <v>0.11390974575268817</v>
      </c>
      <c r="AC118" s="19">
        <f t="shared" si="40"/>
        <v>0.12376865903763443</v>
      </c>
      <c r="AD118" s="19">
        <f t="shared" si="41"/>
        <v>-9.858913284946258E-3</v>
      </c>
    </row>
    <row r="119" spans="1:30" x14ac:dyDescent="0.35">
      <c r="A119" s="14">
        <v>54</v>
      </c>
      <c r="B119" s="30">
        <f t="shared" si="21"/>
        <v>46167</v>
      </c>
      <c r="C119" s="23">
        <f t="shared" si="22"/>
        <v>8</v>
      </c>
      <c r="D119" s="23">
        <f t="shared" si="23"/>
        <v>2</v>
      </c>
      <c r="E119" s="22">
        <f t="shared" si="24"/>
        <v>173.65591397849462</v>
      </c>
      <c r="F119" s="22">
        <f t="shared" si="25"/>
        <v>205.64516129032259</v>
      </c>
      <c r="G119" s="22">
        <f t="shared" si="26"/>
        <v>114.24731182795698</v>
      </c>
      <c r="H119" s="19">
        <f t="shared" si="27"/>
        <v>5.6984587813620043E-2</v>
      </c>
      <c r="I119" s="19">
        <f>(E119*$B$20+F119*$B$21+G119*$B$22)*(1+'02_Plan'!$B$32)/10000000</f>
        <v>1.0032022177419357E-2</v>
      </c>
      <c r="J119" s="19">
        <f>INDEX($C$43:$E$43,D119)/INDEX($C$49:$E$49,D119)*(1+'02_Plan'!$B$32)</f>
        <v>2.8334274193548389E-2</v>
      </c>
      <c r="K119" s="19">
        <f t="shared" si="28"/>
        <v>4.8257103010752686E-2</v>
      </c>
      <c r="L119" s="19">
        <f t="shared" si="29"/>
        <v>4.0577642741935482E-2</v>
      </c>
      <c r="M119" s="19">
        <f t="shared" si="30"/>
        <v>2.5075E-2</v>
      </c>
      <c r="N119" s="19">
        <f>IF(OR(A119=29,A119=60,A119=90),$B$34*'02_Plan'!$B$25/12,0)</f>
        <v>0</v>
      </c>
      <c r="O119" s="19">
        <f>IF(A119&gt;=$B$7,INDEX($H$65:$H$155,A119-$B$7+1),0)*'02_Plan'!$B$31*(1+'02_Plan'!$B$32)+IF(A119&lt;=$I$7,$H$7/($I$7+1),0)</f>
        <v>7.0069029333333338E-2</v>
      </c>
      <c r="P119" s="19">
        <f>IF(A119&gt;=60,INDEX($H$65:$H$155,A119-60+1),0)*(1-'02_Plan'!$B$31)*(1+'02_Plan'!$B$32)+IF(A119&lt;=$I$8,$H$8/($I$8+1),0)</f>
        <v>1.5333333333333334E-2</v>
      </c>
      <c r="Q119" s="19">
        <f t="shared" si="31"/>
        <v>0</v>
      </c>
      <c r="R119" s="19">
        <f t="shared" si="32"/>
        <v>1.0032022177419357E-2</v>
      </c>
      <c r="S119" s="19">
        <f>J119+IF(A119=INDEX($C$51:$E$51,D119),INDEX($C$44:$E$44,D119)*(1+'02_Plan'!$B$32),0)</f>
        <v>2.8334274193548389E-2</v>
      </c>
      <c r="T119" s="19">
        <f t="shared" si="33"/>
        <v>0</v>
      </c>
      <c r="U119" s="19">
        <f t="shared" si="34"/>
        <v>0</v>
      </c>
      <c r="V119" s="19">
        <f t="shared" si="35"/>
        <v>0</v>
      </c>
      <c r="W119" s="19">
        <f t="shared" si="36"/>
        <v>0</v>
      </c>
      <c r="X119" s="19">
        <f t="shared" si="37"/>
        <v>0</v>
      </c>
      <c r="Y119" s="19">
        <f>IF(A119=INDEX($C$50:$E$50,D119)+4,INDEX($C$46:$E$46,D119)*0.3*(1+'02_Plan'!$B$32),0)+IF(A119=INDEX($C$50:$E$50,D119)+9,INDEX($C$46:$E$46,D119)*0.7*(1+'02_Plan'!$B$32),0)</f>
        <v>0</v>
      </c>
      <c r="Z119" s="19">
        <f>IF(A119=INDEX($C$50:$E$50,D119)+14,INDEX($C$47:$E$47,D119)*(1+'02_Plan'!$B$32),0)</f>
        <v>0</v>
      </c>
      <c r="AA119" s="19">
        <f t="shared" si="38"/>
        <v>0</v>
      </c>
      <c r="AB119" s="19">
        <f t="shared" si="39"/>
        <v>0.11390974575268817</v>
      </c>
      <c r="AC119" s="19">
        <f t="shared" si="40"/>
        <v>0.12376865903763443</v>
      </c>
      <c r="AD119" s="19">
        <f t="shared" si="41"/>
        <v>-9.858913284946258E-3</v>
      </c>
    </row>
    <row r="120" spans="1:30" x14ac:dyDescent="0.35">
      <c r="A120" s="14">
        <v>55</v>
      </c>
      <c r="B120" s="30">
        <f t="shared" si="21"/>
        <v>46168</v>
      </c>
      <c r="C120" s="23">
        <f t="shared" si="22"/>
        <v>8</v>
      </c>
      <c r="D120" s="23">
        <f t="shared" si="23"/>
        <v>2</v>
      </c>
      <c r="E120" s="22">
        <f t="shared" si="24"/>
        <v>173.65591397849462</v>
      </c>
      <c r="F120" s="22">
        <f t="shared" si="25"/>
        <v>205.64516129032259</v>
      </c>
      <c r="G120" s="22">
        <f t="shared" si="26"/>
        <v>114.24731182795698</v>
      </c>
      <c r="H120" s="19">
        <f t="shared" si="27"/>
        <v>5.6984587813620043E-2</v>
      </c>
      <c r="I120" s="19">
        <f>(E120*$B$20+F120*$B$21+G120*$B$22)*(1+'02_Plan'!$B$32)/10000000</f>
        <v>1.0032022177419357E-2</v>
      </c>
      <c r="J120" s="19">
        <f>INDEX($C$43:$E$43,D120)/INDEX($C$49:$E$49,D120)*(1+'02_Plan'!$B$32)</f>
        <v>2.8334274193548389E-2</v>
      </c>
      <c r="K120" s="19">
        <f t="shared" si="28"/>
        <v>4.8257103010752686E-2</v>
      </c>
      <c r="L120" s="19">
        <f t="shared" si="29"/>
        <v>4.0577642741935482E-2</v>
      </c>
      <c r="M120" s="19">
        <f t="shared" si="30"/>
        <v>2.5075E-2</v>
      </c>
      <c r="N120" s="19">
        <f>IF(OR(A120=29,A120=60,A120=90),$B$34*'02_Plan'!$B$25/12,0)</f>
        <v>0</v>
      </c>
      <c r="O120" s="19">
        <f>IF(A120&gt;=$B$7,INDEX($H$65:$H$155,A120-$B$7+1),0)*'02_Plan'!$B$31*(1+'02_Plan'!$B$32)+IF(A120&lt;=$I$7,$H$7/($I$7+1),0)</f>
        <v>7.0069029333333338E-2</v>
      </c>
      <c r="P120" s="19">
        <f>IF(A120&gt;=60,INDEX($H$65:$H$155,A120-60+1),0)*(1-'02_Plan'!$B$31)*(1+'02_Plan'!$B$32)+IF(A120&lt;=$I$8,$H$8/($I$8+1),0)</f>
        <v>1.5333333333333334E-2</v>
      </c>
      <c r="Q120" s="19">
        <f t="shared" si="31"/>
        <v>0</v>
      </c>
      <c r="R120" s="19">
        <f t="shared" si="32"/>
        <v>1.0032022177419357E-2</v>
      </c>
      <c r="S120" s="19">
        <f>J120+IF(A120=INDEX($C$51:$E$51,D120),INDEX($C$44:$E$44,D120)*(1+'02_Plan'!$B$32),0)</f>
        <v>2.8334274193548389E-2</v>
      </c>
      <c r="T120" s="19">
        <f t="shared" si="33"/>
        <v>0</v>
      </c>
      <c r="U120" s="19">
        <f t="shared" si="34"/>
        <v>0</v>
      </c>
      <c r="V120" s="19">
        <f t="shared" si="35"/>
        <v>0</v>
      </c>
      <c r="W120" s="19">
        <f t="shared" si="36"/>
        <v>0</v>
      </c>
      <c r="X120" s="19">
        <f t="shared" si="37"/>
        <v>0</v>
      </c>
      <c r="Y120" s="19">
        <f>IF(A120=INDEX($C$50:$E$50,D120)+4,INDEX($C$46:$E$46,D120)*0.3*(1+'02_Plan'!$B$32),0)+IF(A120=INDEX($C$50:$E$50,D120)+9,INDEX($C$46:$E$46,D120)*0.7*(1+'02_Plan'!$B$32),0)</f>
        <v>0</v>
      </c>
      <c r="Z120" s="19">
        <f>IF(A120=INDEX($C$50:$E$50,D120)+14,INDEX($C$47:$E$47,D120)*(1+'02_Plan'!$B$32),0)</f>
        <v>0</v>
      </c>
      <c r="AA120" s="19">
        <f t="shared" si="38"/>
        <v>0</v>
      </c>
      <c r="AB120" s="19">
        <f t="shared" si="39"/>
        <v>0.11390974575268817</v>
      </c>
      <c r="AC120" s="19">
        <f t="shared" si="40"/>
        <v>0.12376865903763443</v>
      </c>
      <c r="AD120" s="19">
        <f t="shared" si="41"/>
        <v>-9.858913284946258E-3</v>
      </c>
    </row>
    <row r="121" spans="1:30" x14ac:dyDescent="0.35">
      <c r="A121" s="14">
        <v>56</v>
      </c>
      <c r="B121" s="30">
        <f t="shared" si="21"/>
        <v>46169</v>
      </c>
      <c r="C121" s="23">
        <f t="shared" si="22"/>
        <v>9</v>
      </c>
      <c r="D121" s="23">
        <f t="shared" si="23"/>
        <v>2</v>
      </c>
      <c r="E121" s="22">
        <f t="shared" si="24"/>
        <v>173.65591397849462</v>
      </c>
      <c r="F121" s="22">
        <f t="shared" si="25"/>
        <v>205.64516129032259</v>
      </c>
      <c r="G121" s="22">
        <f t="shared" si="26"/>
        <v>114.24731182795698</v>
      </c>
      <c r="H121" s="19">
        <f t="shared" si="27"/>
        <v>5.6984587813620043E-2</v>
      </c>
      <c r="I121" s="19">
        <f>(E121*$B$20+F121*$B$21+G121*$B$22)*(1+'02_Plan'!$B$32)/10000000</f>
        <v>1.0032022177419357E-2</v>
      </c>
      <c r="J121" s="19">
        <f>INDEX($C$43:$E$43,D121)/INDEX($C$49:$E$49,D121)*(1+'02_Plan'!$B$32)</f>
        <v>2.8334274193548389E-2</v>
      </c>
      <c r="K121" s="19">
        <f t="shared" si="28"/>
        <v>4.8257103010752686E-2</v>
      </c>
      <c r="L121" s="19">
        <f t="shared" si="29"/>
        <v>4.0577642741935482E-2</v>
      </c>
      <c r="M121" s="19">
        <f t="shared" si="30"/>
        <v>2.5075E-2</v>
      </c>
      <c r="N121" s="19">
        <f>IF(OR(A121=29,A121=60,A121=90),$B$34*'02_Plan'!$B$25/12,0)</f>
        <v>0</v>
      </c>
      <c r="O121" s="19">
        <f>IF(A121&gt;=$B$7,INDEX($H$65:$H$155,A121-$B$7+1),0)*'02_Plan'!$B$31*(1+'02_Plan'!$B$32)+IF(A121&lt;=$I$7,$H$7/($I$7+1),0)</f>
        <v>7.0069029333333338E-2</v>
      </c>
      <c r="P121" s="19">
        <f>IF(A121&gt;=60,INDEX($H$65:$H$155,A121-60+1),0)*(1-'02_Plan'!$B$31)*(1+'02_Plan'!$B$32)+IF(A121&lt;=$I$8,$H$8/($I$8+1),0)</f>
        <v>1.5333333333333334E-2</v>
      </c>
      <c r="Q121" s="19">
        <f t="shared" si="31"/>
        <v>0</v>
      </c>
      <c r="R121" s="19">
        <f t="shared" si="32"/>
        <v>1.0032022177419357E-2</v>
      </c>
      <c r="S121" s="19">
        <f>J121+IF(A121=INDEX($C$51:$E$51,D121),INDEX($C$44:$E$44,D121)*(1+'02_Plan'!$B$32),0)</f>
        <v>2.8334274193548389E-2</v>
      </c>
      <c r="T121" s="19">
        <f t="shared" si="33"/>
        <v>0</v>
      </c>
      <c r="U121" s="19">
        <f t="shared" si="34"/>
        <v>0</v>
      </c>
      <c r="V121" s="19">
        <f t="shared" si="35"/>
        <v>0</v>
      </c>
      <c r="W121" s="19">
        <f t="shared" si="36"/>
        <v>0</v>
      </c>
      <c r="X121" s="19">
        <f t="shared" si="37"/>
        <v>0</v>
      </c>
      <c r="Y121" s="19">
        <f>IF(A121=INDEX($C$50:$E$50,D121)+4,INDEX($C$46:$E$46,D121)*0.3*(1+'02_Plan'!$B$32),0)+IF(A121=INDEX($C$50:$E$50,D121)+9,INDEX($C$46:$E$46,D121)*0.7*(1+'02_Plan'!$B$32),0)</f>
        <v>0</v>
      </c>
      <c r="Z121" s="19">
        <f>IF(A121=INDEX($C$50:$E$50,D121)+14,INDEX($C$47:$E$47,D121)*(1+'02_Plan'!$B$32),0)</f>
        <v>0</v>
      </c>
      <c r="AA121" s="19">
        <f t="shared" si="38"/>
        <v>0</v>
      </c>
      <c r="AB121" s="19">
        <f t="shared" si="39"/>
        <v>0.11390974575268817</v>
      </c>
      <c r="AC121" s="19">
        <f t="shared" si="40"/>
        <v>0.12376865903763443</v>
      </c>
      <c r="AD121" s="19">
        <f t="shared" si="41"/>
        <v>-9.858913284946258E-3</v>
      </c>
    </row>
    <row r="122" spans="1:30" x14ac:dyDescent="0.35">
      <c r="A122" s="14">
        <v>57</v>
      </c>
      <c r="B122" s="30">
        <f t="shared" si="21"/>
        <v>46170</v>
      </c>
      <c r="C122" s="23">
        <f t="shared" si="22"/>
        <v>9</v>
      </c>
      <c r="D122" s="23">
        <f t="shared" si="23"/>
        <v>2</v>
      </c>
      <c r="E122" s="22">
        <f t="shared" si="24"/>
        <v>173.65591397849462</v>
      </c>
      <c r="F122" s="22">
        <f t="shared" si="25"/>
        <v>205.64516129032259</v>
      </c>
      <c r="G122" s="22">
        <f t="shared" si="26"/>
        <v>114.24731182795698</v>
      </c>
      <c r="H122" s="19">
        <f t="shared" si="27"/>
        <v>5.6984587813620043E-2</v>
      </c>
      <c r="I122" s="19">
        <f>(E122*$B$20+F122*$B$21+G122*$B$22)*(1+'02_Plan'!$B$32)/10000000</f>
        <v>1.0032022177419357E-2</v>
      </c>
      <c r="J122" s="19">
        <f>INDEX($C$43:$E$43,D122)/INDEX($C$49:$E$49,D122)*(1+'02_Plan'!$B$32)</f>
        <v>2.8334274193548389E-2</v>
      </c>
      <c r="K122" s="19">
        <f t="shared" si="28"/>
        <v>4.8257103010752686E-2</v>
      </c>
      <c r="L122" s="19">
        <f t="shared" si="29"/>
        <v>4.0577642741935482E-2</v>
      </c>
      <c r="M122" s="19">
        <f t="shared" si="30"/>
        <v>2.5075E-2</v>
      </c>
      <c r="N122" s="19">
        <f>IF(OR(A122=29,A122=60,A122=90),$B$34*'02_Plan'!$B$25/12,0)</f>
        <v>0</v>
      </c>
      <c r="O122" s="19">
        <f>IF(A122&gt;=$B$7,INDEX($H$65:$H$155,A122-$B$7+1),0)*'02_Plan'!$B$31*(1+'02_Plan'!$B$32)+IF(A122&lt;=$I$7,$H$7/($I$7+1),0)</f>
        <v>7.0069029333333338E-2</v>
      </c>
      <c r="P122" s="19">
        <f>IF(A122&gt;=60,INDEX($H$65:$H$155,A122-60+1),0)*(1-'02_Plan'!$B$31)*(1+'02_Plan'!$B$32)+IF(A122&lt;=$I$8,$H$8/($I$8+1),0)</f>
        <v>1.5333333333333334E-2</v>
      </c>
      <c r="Q122" s="19">
        <f t="shared" si="31"/>
        <v>0</v>
      </c>
      <c r="R122" s="19">
        <f t="shared" si="32"/>
        <v>1.0032022177419357E-2</v>
      </c>
      <c r="S122" s="19">
        <f>J122+IF(A122=INDEX($C$51:$E$51,D122),INDEX($C$44:$E$44,D122)*(1+'02_Plan'!$B$32),0)</f>
        <v>2.8334274193548389E-2</v>
      </c>
      <c r="T122" s="19">
        <f t="shared" si="33"/>
        <v>0</v>
      </c>
      <c r="U122" s="19">
        <f t="shared" si="34"/>
        <v>0</v>
      </c>
      <c r="V122" s="19">
        <f t="shared" si="35"/>
        <v>0</v>
      </c>
      <c r="W122" s="19">
        <f t="shared" si="36"/>
        <v>0</v>
      </c>
      <c r="X122" s="19">
        <f t="shared" si="37"/>
        <v>0</v>
      </c>
      <c r="Y122" s="19">
        <f>IF(A122=INDEX($C$50:$E$50,D122)+4,INDEX($C$46:$E$46,D122)*0.3*(1+'02_Plan'!$B$32),0)+IF(A122=INDEX($C$50:$E$50,D122)+9,INDEX($C$46:$E$46,D122)*0.7*(1+'02_Plan'!$B$32),0)</f>
        <v>0</v>
      </c>
      <c r="Z122" s="19">
        <f>IF(A122=INDEX($C$50:$E$50,D122)+14,INDEX($C$47:$E$47,D122)*(1+'02_Plan'!$B$32),0)</f>
        <v>0</v>
      </c>
      <c r="AA122" s="19">
        <f t="shared" si="38"/>
        <v>0</v>
      </c>
      <c r="AB122" s="19">
        <f t="shared" si="39"/>
        <v>0.11390974575268817</v>
      </c>
      <c r="AC122" s="19">
        <f t="shared" si="40"/>
        <v>0.12376865903763443</v>
      </c>
      <c r="AD122" s="19">
        <f t="shared" si="41"/>
        <v>-9.858913284946258E-3</v>
      </c>
    </row>
    <row r="123" spans="1:30" x14ac:dyDescent="0.35">
      <c r="A123" s="14">
        <v>58</v>
      </c>
      <c r="B123" s="30">
        <f t="shared" si="21"/>
        <v>46171</v>
      </c>
      <c r="C123" s="23">
        <f t="shared" si="22"/>
        <v>9</v>
      </c>
      <c r="D123" s="23">
        <f t="shared" si="23"/>
        <v>2</v>
      </c>
      <c r="E123" s="22">
        <f t="shared" si="24"/>
        <v>173.65591397849462</v>
      </c>
      <c r="F123" s="22">
        <f t="shared" si="25"/>
        <v>205.64516129032259</v>
      </c>
      <c r="G123" s="22">
        <f t="shared" si="26"/>
        <v>114.24731182795698</v>
      </c>
      <c r="H123" s="19">
        <f t="shared" si="27"/>
        <v>5.6984587813620043E-2</v>
      </c>
      <c r="I123" s="19">
        <f>(E123*$B$20+F123*$B$21+G123*$B$22)*(1+'02_Plan'!$B$32)/10000000</f>
        <v>1.0032022177419357E-2</v>
      </c>
      <c r="J123" s="19">
        <f>INDEX($C$43:$E$43,D123)/INDEX($C$49:$E$49,D123)*(1+'02_Plan'!$B$32)</f>
        <v>2.8334274193548389E-2</v>
      </c>
      <c r="K123" s="19">
        <f t="shared" si="28"/>
        <v>4.8257103010752686E-2</v>
      </c>
      <c r="L123" s="19">
        <f t="shared" si="29"/>
        <v>4.0577642741935482E-2</v>
      </c>
      <c r="M123" s="19">
        <f t="shared" si="30"/>
        <v>2.5075E-2</v>
      </c>
      <c r="N123" s="19">
        <f>IF(OR(A123=29,A123=60,A123=90),$B$34*'02_Plan'!$B$25/12,0)</f>
        <v>0</v>
      </c>
      <c r="O123" s="19">
        <f>IF(A123&gt;=$B$7,INDEX($H$65:$H$155,A123-$B$7+1),0)*'02_Plan'!$B$31*(1+'02_Plan'!$B$32)+IF(A123&lt;=$I$7,$H$7/($I$7+1),0)</f>
        <v>7.0069029333333338E-2</v>
      </c>
      <c r="P123" s="19">
        <f>IF(A123&gt;=60,INDEX($H$65:$H$155,A123-60+1),0)*(1-'02_Plan'!$B$31)*(1+'02_Plan'!$B$32)+IF(A123&lt;=$I$8,$H$8/($I$8+1),0)</f>
        <v>1.5333333333333334E-2</v>
      </c>
      <c r="Q123" s="19">
        <f t="shared" si="31"/>
        <v>0</v>
      </c>
      <c r="R123" s="19">
        <f t="shared" si="32"/>
        <v>1.0032022177419357E-2</v>
      </c>
      <c r="S123" s="19">
        <f>J123+IF(A123=INDEX($C$51:$E$51,D123),INDEX($C$44:$E$44,D123)*(1+'02_Plan'!$B$32),0)</f>
        <v>0.16993427419354837</v>
      </c>
      <c r="T123" s="19">
        <f t="shared" si="33"/>
        <v>0.42100000000000004</v>
      </c>
      <c r="U123" s="19">
        <f t="shared" si="34"/>
        <v>0</v>
      </c>
      <c r="V123" s="19">
        <f t="shared" si="35"/>
        <v>0</v>
      </c>
      <c r="W123" s="19">
        <f t="shared" si="36"/>
        <v>0</v>
      </c>
      <c r="X123" s="19">
        <f t="shared" si="37"/>
        <v>0</v>
      </c>
      <c r="Y123" s="19">
        <f>IF(A123=INDEX($C$50:$E$50,D123)+4,INDEX($C$46:$E$46,D123)*0.3*(1+'02_Plan'!$B$32),0)+IF(A123=INDEX($C$50:$E$50,D123)+9,INDEX($C$46:$E$46,D123)*0.7*(1+'02_Plan'!$B$32),0)</f>
        <v>0</v>
      </c>
      <c r="Z123" s="19">
        <f>IF(A123=INDEX($C$50:$E$50,D123)+14,INDEX($C$47:$E$47,D123)*(1+'02_Plan'!$B$32),0)</f>
        <v>0</v>
      </c>
      <c r="AA123" s="19">
        <f t="shared" si="38"/>
        <v>0</v>
      </c>
      <c r="AB123" s="19">
        <f t="shared" si="39"/>
        <v>0.11390974575268817</v>
      </c>
      <c r="AC123" s="19">
        <f t="shared" si="40"/>
        <v>0.68636865903763444</v>
      </c>
      <c r="AD123" s="19">
        <f t="shared" si="41"/>
        <v>-0.57245891328494625</v>
      </c>
    </row>
    <row r="124" spans="1:30" x14ac:dyDescent="0.35">
      <c r="A124" s="14">
        <v>59</v>
      </c>
      <c r="B124" s="30">
        <f t="shared" si="21"/>
        <v>46172</v>
      </c>
      <c r="C124" s="23">
        <f t="shared" si="22"/>
        <v>9</v>
      </c>
      <c r="D124" s="23">
        <f t="shared" si="23"/>
        <v>2</v>
      </c>
      <c r="E124" s="22">
        <f t="shared" si="24"/>
        <v>173.65591397849462</v>
      </c>
      <c r="F124" s="22">
        <f t="shared" si="25"/>
        <v>205.64516129032259</v>
      </c>
      <c r="G124" s="22">
        <f t="shared" si="26"/>
        <v>114.24731182795698</v>
      </c>
      <c r="H124" s="19">
        <f t="shared" si="27"/>
        <v>5.6984587813620043E-2</v>
      </c>
      <c r="I124" s="19">
        <f>(E124*$B$20+F124*$B$21+G124*$B$22)*(1+'02_Plan'!$B$32)/10000000</f>
        <v>1.0032022177419357E-2</v>
      </c>
      <c r="J124" s="19">
        <f>INDEX($C$43:$E$43,D124)/INDEX($C$49:$E$49,D124)*(1+'02_Plan'!$B$32)</f>
        <v>2.8334274193548389E-2</v>
      </c>
      <c r="K124" s="19">
        <f t="shared" si="28"/>
        <v>4.8257103010752686E-2</v>
      </c>
      <c r="L124" s="19">
        <f t="shared" si="29"/>
        <v>4.0577642741935482E-2</v>
      </c>
      <c r="M124" s="19">
        <f t="shared" si="30"/>
        <v>2.5075E-2</v>
      </c>
      <c r="N124" s="19">
        <f>IF(OR(A124=29,A124=60,A124=90),$B$34*'02_Plan'!$B$25/12,0)</f>
        <v>0</v>
      </c>
      <c r="O124" s="19">
        <f>IF(A124&gt;=$B$7,INDEX($H$65:$H$155,A124-$B$7+1),0)*'02_Plan'!$B$31*(1+'02_Plan'!$B$32)+IF(A124&lt;=$I$7,$H$7/($I$7+1),0)</f>
        <v>7.0069029333333338E-2</v>
      </c>
      <c r="P124" s="19">
        <f>IF(A124&gt;=60,INDEX($H$65:$H$155,A124-60+1),0)*(1-'02_Plan'!$B$31)*(1+'02_Plan'!$B$32)+IF(A124&lt;=$I$8,$H$8/($I$8+1),0)</f>
        <v>1.5333333333333334E-2</v>
      </c>
      <c r="Q124" s="19">
        <f t="shared" si="31"/>
        <v>0</v>
      </c>
      <c r="R124" s="19">
        <f t="shared" si="32"/>
        <v>1.0032022177419357E-2</v>
      </c>
      <c r="S124" s="19">
        <f>J124+IF(A124=INDEX($C$51:$E$51,D124),INDEX($C$44:$E$44,D124)*(1+'02_Plan'!$B$32),0)</f>
        <v>2.8334274193548389E-2</v>
      </c>
      <c r="T124" s="19">
        <f t="shared" si="33"/>
        <v>0</v>
      </c>
      <c r="U124" s="19">
        <f t="shared" si="34"/>
        <v>0</v>
      </c>
      <c r="V124" s="19">
        <f t="shared" si="35"/>
        <v>0</v>
      </c>
      <c r="W124" s="19">
        <f t="shared" si="36"/>
        <v>0</v>
      </c>
      <c r="X124" s="19">
        <f t="shared" si="37"/>
        <v>0</v>
      </c>
      <c r="Y124" s="19">
        <f>IF(A124=INDEX($C$50:$E$50,D124)+4,INDEX($C$46:$E$46,D124)*0.3*(1+'02_Plan'!$B$32),0)+IF(A124=INDEX($C$50:$E$50,D124)+9,INDEX($C$46:$E$46,D124)*0.7*(1+'02_Plan'!$B$32),0)</f>
        <v>0</v>
      </c>
      <c r="Z124" s="19">
        <f>IF(A124=INDEX($C$50:$E$50,D124)+14,INDEX($C$47:$E$47,D124)*(1+'02_Plan'!$B$32),0)</f>
        <v>0</v>
      </c>
      <c r="AA124" s="19">
        <f t="shared" si="38"/>
        <v>0</v>
      </c>
      <c r="AB124" s="19">
        <f t="shared" si="39"/>
        <v>0.11390974575268817</v>
      </c>
      <c r="AC124" s="19">
        <f t="shared" si="40"/>
        <v>0.12376865903763443</v>
      </c>
      <c r="AD124" s="19">
        <f t="shared" si="41"/>
        <v>-9.858913284946258E-3</v>
      </c>
    </row>
    <row r="125" spans="1:30" x14ac:dyDescent="0.35">
      <c r="A125" s="14">
        <v>60</v>
      </c>
      <c r="B125" s="30">
        <f t="shared" si="21"/>
        <v>46173</v>
      </c>
      <c r="C125" s="23">
        <f t="shared" si="22"/>
        <v>9</v>
      </c>
      <c r="D125" s="23">
        <f t="shared" si="23"/>
        <v>2</v>
      </c>
      <c r="E125" s="22">
        <f t="shared" si="24"/>
        <v>173.65591397849462</v>
      </c>
      <c r="F125" s="22">
        <f t="shared" si="25"/>
        <v>205.64516129032259</v>
      </c>
      <c r="G125" s="22">
        <f t="shared" si="26"/>
        <v>114.24731182795698</v>
      </c>
      <c r="H125" s="19">
        <f t="shared" si="27"/>
        <v>5.6984587813620043E-2</v>
      </c>
      <c r="I125" s="19">
        <f>(E125*$B$20+F125*$B$21+G125*$B$22)*(1+'02_Plan'!$B$32)/10000000</f>
        <v>1.0032022177419357E-2</v>
      </c>
      <c r="J125" s="19">
        <f>INDEX($C$43:$E$43,D125)/INDEX($C$49:$E$49,D125)*(1+'02_Plan'!$B$32)</f>
        <v>2.8334274193548389E-2</v>
      </c>
      <c r="K125" s="19">
        <f t="shared" si="28"/>
        <v>4.8257103010752686E-2</v>
      </c>
      <c r="L125" s="19">
        <f t="shared" si="29"/>
        <v>4.0577642741935482E-2</v>
      </c>
      <c r="M125" s="19">
        <f t="shared" si="30"/>
        <v>2.5075E-2</v>
      </c>
      <c r="N125" s="19">
        <f>IF(OR(A125=29,A125=60,A125=90),$B$34*'02_Plan'!$B$25/12,0)</f>
        <v>4.9999999999999996E-2</v>
      </c>
      <c r="O125" s="19">
        <f>IF(A125&gt;=$B$7,INDEX($H$65:$H$155,A125-$B$7+1),0)*'02_Plan'!$B$31*(1+'02_Plan'!$B$32)+IF(A125&lt;=$I$7,$H$7/($I$7+1),0)</f>
        <v>7.0069029333333338E-2</v>
      </c>
      <c r="P125" s="19">
        <f>IF(A125&gt;=60,INDEX($H$65:$H$155,A125-60+1),0)*(1-'02_Plan'!$B$31)*(1+'02_Plan'!$B$32)+IF(A125&lt;=$I$8,$H$8/($I$8+1),0)</f>
        <v>2.7249066962962972E-2</v>
      </c>
      <c r="Q125" s="19">
        <f t="shared" si="31"/>
        <v>0</v>
      </c>
      <c r="R125" s="19">
        <f t="shared" si="32"/>
        <v>1.0032022177419357E-2</v>
      </c>
      <c r="S125" s="19">
        <f>J125+IF(A125=INDEX($C$51:$E$51,D125),INDEX($C$44:$E$44,D125)*(1+'02_Plan'!$B$32),0)</f>
        <v>2.8334274193548389E-2</v>
      </c>
      <c r="T125" s="19">
        <f t="shared" si="33"/>
        <v>0</v>
      </c>
      <c r="U125" s="19">
        <f t="shared" si="34"/>
        <v>0</v>
      </c>
      <c r="V125" s="19">
        <f t="shared" si="35"/>
        <v>0</v>
      </c>
      <c r="W125" s="19">
        <f t="shared" si="36"/>
        <v>0</v>
      </c>
      <c r="X125" s="19">
        <f t="shared" si="37"/>
        <v>0</v>
      </c>
      <c r="Y125" s="19">
        <f>IF(A125=INDEX($C$50:$E$50,D125)+4,INDEX($C$46:$E$46,D125)*0.3*(1+'02_Plan'!$B$32),0)+IF(A125=INDEX($C$50:$E$50,D125)+9,INDEX($C$46:$E$46,D125)*0.7*(1+'02_Plan'!$B$32),0)</f>
        <v>0</v>
      </c>
      <c r="Z125" s="19">
        <f>IF(A125=INDEX($C$50:$E$50,D125)+14,INDEX($C$47:$E$47,D125)*(1+'02_Plan'!$B$32),0)</f>
        <v>0</v>
      </c>
      <c r="AA125" s="19">
        <f t="shared" si="38"/>
        <v>0</v>
      </c>
      <c r="AB125" s="19">
        <f t="shared" si="39"/>
        <v>0.16390974575268816</v>
      </c>
      <c r="AC125" s="19">
        <f t="shared" si="40"/>
        <v>0.13568439266726406</v>
      </c>
      <c r="AD125" s="19">
        <f t="shared" si="41"/>
        <v>2.8225353085424093E-2</v>
      </c>
    </row>
    <row r="126" spans="1:30" x14ac:dyDescent="0.35">
      <c r="A126" s="14">
        <v>61</v>
      </c>
      <c r="B126" s="30">
        <f t="shared" si="21"/>
        <v>46174</v>
      </c>
      <c r="C126" s="23">
        <f t="shared" si="22"/>
        <v>9</v>
      </c>
      <c r="D126" s="23">
        <f t="shared" si="23"/>
        <v>3</v>
      </c>
      <c r="E126" s="22">
        <f t="shared" si="24"/>
        <v>190</v>
      </c>
      <c r="F126" s="22">
        <f t="shared" si="25"/>
        <v>225</v>
      </c>
      <c r="G126" s="22">
        <f t="shared" si="26"/>
        <v>125</v>
      </c>
      <c r="H126" s="19">
        <f t="shared" si="27"/>
        <v>6.5351111111111138E-2</v>
      </c>
      <c r="I126" s="19">
        <f>(E126*$B$20+F126*$B$21+G126*$B$22)*(1+'02_Plan'!$B$32)/10000000</f>
        <v>1.0976212500000001E-2</v>
      </c>
      <c r="J126" s="19">
        <f>INDEX($C$43:$E$43,D126)/INDEX($C$49:$E$49,D126)*(1+'02_Plan'!$B$32)</f>
        <v>3.0827500000000001E-2</v>
      </c>
      <c r="K126" s="19">
        <f t="shared" si="28"/>
        <v>4.8257103010752686E-2</v>
      </c>
      <c r="L126" s="19">
        <f t="shared" si="29"/>
        <v>4.0577642741935482E-2</v>
      </c>
      <c r="M126" s="19">
        <f t="shared" si="30"/>
        <v>2.5075E-2</v>
      </c>
      <c r="N126" s="19">
        <f>IF(OR(A126=29,A126=60,A126=90),$B$34*'02_Plan'!$B$25/12,0)</f>
        <v>0</v>
      </c>
      <c r="O126" s="19">
        <f>IF(A126&gt;=$B$7,INDEX($H$65:$H$155,A126-$B$7+1),0)*'02_Plan'!$B$31*(1+'02_Plan'!$B$32)+IF(A126&lt;=$I$7,$H$7/($I$7+1),0)</f>
        <v>7.0069029333333338E-2</v>
      </c>
      <c r="P126" s="19">
        <f>IF(A126&gt;=60,INDEX($H$65:$H$155,A126-60+1),0)*(1-'02_Plan'!$B$31)*(1+'02_Plan'!$B$32)+IF(A126&lt;=$I$8,$H$8/($I$8+1),0)</f>
        <v>2.7249066962962972E-2</v>
      </c>
      <c r="Q126" s="19">
        <f t="shared" si="31"/>
        <v>0</v>
      </c>
      <c r="R126" s="19">
        <f t="shared" si="32"/>
        <v>1.0032022177419357E-2</v>
      </c>
      <c r="S126" s="19">
        <f>J126+IF(A126=INDEX($C$51:$E$51,D126),INDEX($C$44:$E$44,D126)*(1+'02_Plan'!$B$32),0)</f>
        <v>3.0827500000000001E-2</v>
      </c>
      <c r="T126" s="19">
        <f t="shared" si="33"/>
        <v>0</v>
      </c>
      <c r="U126" s="19">
        <f t="shared" si="34"/>
        <v>0</v>
      </c>
      <c r="V126" s="19">
        <f t="shared" si="35"/>
        <v>0</v>
      </c>
      <c r="W126" s="19">
        <f t="shared" si="36"/>
        <v>0</v>
      </c>
      <c r="X126" s="19">
        <f t="shared" si="37"/>
        <v>0</v>
      </c>
      <c r="Y126" s="19">
        <f>IF(A126=INDEX($C$50:$E$50,D126)+4,INDEX($C$46:$E$46,D126)*0.3*(1+'02_Plan'!$B$32),0)+IF(A126=INDEX($C$50:$E$50,D126)+9,INDEX($C$46:$E$46,D126)*0.7*(1+'02_Plan'!$B$32),0)</f>
        <v>0</v>
      </c>
      <c r="Z126" s="19">
        <f>IF(A126=INDEX($C$50:$E$50,D126)+14,INDEX($C$47:$E$47,D126)*(1+'02_Plan'!$B$32),0)</f>
        <v>0</v>
      </c>
      <c r="AA126" s="19">
        <f t="shared" si="38"/>
        <v>0</v>
      </c>
      <c r="AB126" s="19">
        <f t="shared" si="39"/>
        <v>0.11390974575268817</v>
      </c>
      <c r="AC126" s="19">
        <f t="shared" si="40"/>
        <v>0.13817761847371568</v>
      </c>
      <c r="AD126" s="19">
        <f t="shared" si="41"/>
        <v>-2.4267872721027511E-2</v>
      </c>
    </row>
    <row r="127" spans="1:30" x14ac:dyDescent="0.35">
      <c r="A127" s="14">
        <v>62</v>
      </c>
      <c r="B127" s="30">
        <f t="shared" si="21"/>
        <v>46175</v>
      </c>
      <c r="C127" s="23">
        <f t="shared" si="22"/>
        <v>9</v>
      </c>
      <c r="D127" s="23">
        <f t="shared" si="23"/>
        <v>3</v>
      </c>
      <c r="E127" s="22">
        <f t="shared" si="24"/>
        <v>190</v>
      </c>
      <c r="F127" s="22">
        <f t="shared" si="25"/>
        <v>225</v>
      </c>
      <c r="G127" s="22">
        <f t="shared" si="26"/>
        <v>125</v>
      </c>
      <c r="H127" s="19">
        <f t="shared" si="27"/>
        <v>6.5351111111111138E-2</v>
      </c>
      <c r="I127" s="19">
        <f>(E127*$B$20+F127*$B$21+G127*$B$22)*(1+'02_Plan'!$B$32)/10000000</f>
        <v>1.0976212500000001E-2</v>
      </c>
      <c r="J127" s="19">
        <f>INDEX($C$43:$E$43,D127)/INDEX($C$49:$E$49,D127)*(1+'02_Plan'!$B$32)</f>
        <v>3.0827500000000001E-2</v>
      </c>
      <c r="K127" s="19">
        <f t="shared" si="28"/>
        <v>4.8257103010752686E-2</v>
      </c>
      <c r="L127" s="19">
        <f t="shared" si="29"/>
        <v>4.0577642741935482E-2</v>
      </c>
      <c r="M127" s="19">
        <f t="shared" si="30"/>
        <v>2.5075E-2</v>
      </c>
      <c r="N127" s="19">
        <f>IF(OR(A127=29,A127=60,A127=90),$B$34*'02_Plan'!$B$25/12,0)</f>
        <v>0</v>
      </c>
      <c r="O127" s="19">
        <f>IF(A127&gt;=$B$7,INDEX($H$65:$H$155,A127-$B$7+1),0)*'02_Plan'!$B$31*(1+'02_Plan'!$B$32)+IF(A127&lt;=$I$7,$H$7/($I$7+1),0)</f>
        <v>7.0069029333333338E-2</v>
      </c>
      <c r="P127" s="19">
        <f>IF(A127&gt;=60,INDEX($H$65:$H$155,A127-60+1),0)*(1-'02_Plan'!$B$31)*(1+'02_Plan'!$B$32)+IF(A127&lt;=$I$8,$H$8/($I$8+1),0)</f>
        <v>2.7249066962962972E-2</v>
      </c>
      <c r="Q127" s="19">
        <f t="shared" si="31"/>
        <v>0</v>
      </c>
      <c r="R127" s="19">
        <f t="shared" si="32"/>
        <v>1.0032022177419357E-2</v>
      </c>
      <c r="S127" s="19">
        <f>J127+IF(A127=INDEX($C$51:$E$51,D127),INDEX($C$44:$E$44,D127)*(1+'02_Plan'!$B$32),0)</f>
        <v>3.0827500000000001E-2</v>
      </c>
      <c r="T127" s="19">
        <f t="shared" si="33"/>
        <v>0</v>
      </c>
      <c r="U127" s="19">
        <f t="shared" si="34"/>
        <v>0</v>
      </c>
      <c r="V127" s="19">
        <f t="shared" si="35"/>
        <v>0</v>
      </c>
      <c r="W127" s="19">
        <f t="shared" si="36"/>
        <v>0</v>
      </c>
      <c r="X127" s="19">
        <f t="shared" si="37"/>
        <v>0</v>
      </c>
      <c r="Y127" s="19">
        <f>IF(A127=INDEX($C$50:$E$50,D127)+4,INDEX($C$46:$E$46,D127)*0.3*(1+'02_Plan'!$B$32),0)+IF(A127=INDEX($C$50:$E$50,D127)+9,INDEX($C$46:$E$46,D127)*0.7*(1+'02_Plan'!$B$32),0)</f>
        <v>0</v>
      </c>
      <c r="Z127" s="19">
        <f>IF(A127=INDEX($C$50:$E$50,D127)+14,INDEX($C$47:$E$47,D127)*(1+'02_Plan'!$B$32),0)</f>
        <v>0</v>
      </c>
      <c r="AA127" s="19">
        <f t="shared" si="38"/>
        <v>0</v>
      </c>
      <c r="AB127" s="19">
        <f t="shared" si="39"/>
        <v>0.11390974575268817</v>
      </c>
      <c r="AC127" s="19">
        <f t="shared" si="40"/>
        <v>0.13817761847371568</v>
      </c>
      <c r="AD127" s="19">
        <f t="shared" si="41"/>
        <v>-2.4267872721027511E-2</v>
      </c>
    </row>
    <row r="128" spans="1:30" x14ac:dyDescent="0.35">
      <c r="A128" s="14">
        <v>63</v>
      </c>
      <c r="B128" s="30">
        <f t="shared" si="21"/>
        <v>46176</v>
      </c>
      <c r="C128" s="23">
        <f t="shared" si="22"/>
        <v>10</v>
      </c>
      <c r="D128" s="23">
        <f t="shared" si="23"/>
        <v>3</v>
      </c>
      <c r="E128" s="22">
        <f t="shared" si="24"/>
        <v>190</v>
      </c>
      <c r="F128" s="22">
        <f t="shared" si="25"/>
        <v>225</v>
      </c>
      <c r="G128" s="22">
        <f t="shared" si="26"/>
        <v>125</v>
      </c>
      <c r="H128" s="19">
        <f t="shared" si="27"/>
        <v>6.5351111111111138E-2</v>
      </c>
      <c r="I128" s="19">
        <f>(E128*$B$20+F128*$B$21+G128*$B$22)*(1+'02_Plan'!$B$32)/10000000</f>
        <v>1.0976212500000001E-2</v>
      </c>
      <c r="J128" s="19">
        <f>INDEX($C$43:$E$43,D128)/INDEX($C$49:$E$49,D128)*(1+'02_Plan'!$B$32)</f>
        <v>3.0827500000000001E-2</v>
      </c>
      <c r="K128" s="19">
        <f t="shared" si="28"/>
        <v>4.8257103010752686E-2</v>
      </c>
      <c r="L128" s="19">
        <f t="shared" si="29"/>
        <v>4.0577642741935482E-2</v>
      </c>
      <c r="M128" s="19">
        <f t="shared" si="30"/>
        <v>2.5075E-2</v>
      </c>
      <c r="N128" s="19">
        <f>IF(OR(A128=29,A128=60,A128=90),$B$34*'02_Plan'!$B$25/12,0)</f>
        <v>0</v>
      </c>
      <c r="O128" s="19">
        <f>IF(A128&gt;=$B$7,INDEX($H$65:$H$155,A128-$B$7+1),0)*'02_Plan'!$B$31*(1+'02_Plan'!$B$32)+IF(A128&lt;=$I$7,$H$7/($I$7+1),0)</f>
        <v>7.0069029333333338E-2</v>
      </c>
      <c r="P128" s="19">
        <f>IF(A128&gt;=60,INDEX($H$65:$H$155,A128-60+1),0)*(1-'02_Plan'!$B$31)*(1+'02_Plan'!$B$32)+IF(A128&lt;=$I$8,$H$8/($I$8+1),0)</f>
        <v>2.7249066962962972E-2</v>
      </c>
      <c r="Q128" s="19">
        <f t="shared" si="31"/>
        <v>0</v>
      </c>
      <c r="R128" s="19">
        <f t="shared" si="32"/>
        <v>1.0032022177419357E-2</v>
      </c>
      <c r="S128" s="19">
        <f>J128+IF(A128=INDEX($C$51:$E$51,D128),INDEX($C$44:$E$44,D128)*(1+'02_Plan'!$B$32),0)</f>
        <v>3.0827500000000001E-2</v>
      </c>
      <c r="T128" s="19">
        <f t="shared" si="33"/>
        <v>0</v>
      </c>
      <c r="U128" s="19">
        <f t="shared" si="34"/>
        <v>0</v>
      </c>
      <c r="V128" s="19">
        <f t="shared" si="35"/>
        <v>0</v>
      </c>
      <c r="W128" s="19">
        <f t="shared" si="36"/>
        <v>0</v>
      </c>
      <c r="X128" s="19">
        <f t="shared" si="37"/>
        <v>0</v>
      </c>
      <c r="Y128" s="19">
        <f>IF(A128=INDEX($C$50:$E$50,D128)+4,INDEX($C$46:$E$46,D128)*0.3*(1+'02_Plan'!$B$32),0)+IF(A128=INDEX($C$50:$E$50,D128)+9,INDEX($C$46:$E$46,D128)*0.7*(1+'02_Plan'!$B$32),0)</f>
        <v>0</v>
      </c>
      <c r="Z128" s="19">
        <f>IF(A128=INDEX($C$50:$E$50,D128)+14,INDEX($C$47:$E$47,D128)*(1+'02_Plan'!$B$32),0)</f>
        <v>0</v>
      </c>
      <c r="AA128" s="19">
        <f t="shared" si="38"/>
        <v>0</v>
      </c>
      <c r="AB128" s="19">
        <f t="shared" si="39"/>
        <v>0.11390974575268817</v>
      </c>
      <c r="AC128" s="19">
        <f t="shared" si="40"/>
        <v>0.13817761847371568</v>
      </c>
      <c r="AD128" s="19">
        <f t="shared" si="41"/>
        <v>-2.4267872721027511E-2</v>
      </c>
    </row>
    <row r="129" spans="1:30" x14ac:dyDescent="0.35">
      <c r="A129" s="14">
        <v>64</v>
      </c>
      <c r="B129" s="30">
        <f t="shared" ref="B129:B160" si="42">DATE(2026,4,1)+A129</f>
        <v>46177</v>
      </c>
      <c r="C129" s="23">
        <f t="shared" ref="C129:C155" si="43">INT(A129/7)+1</f>
        <v>10</v>
      </c>
      <c r="D129" s="23">
        <f t="shared" ref="D129:D155" si="44">IF(A129&lt;30,1,IF(A129&lt;61,2,3))</f>
        <v>3</v>
      </c>
      <c r="E129" s="22">
        <f t="shared" ref="E129:E160" si="45">INDEX($C$39:$E$39,D129)/INDEX($C$49:$E$49,D129)</f>
        <v>190</v>
      </c>
      <c r="F129" s="22">
        <f t="shared" ref="F129:F155" si="46">INDEX($C$40:$E$40,D129)/INDEX($C$49:$E$49,D129)</f>
        <v>225</v>
      </c>
      <c r="G129" s="22">
        <f t="shared" ref="G129:G155" si="47">INDEX($C$41:$E$41,D129)/INDEX($C$49:$E$49,D129)</f>
        <v>125</v>
      </c>
      <c r="H129" s="19">
        <f t="shared" ref="H129:H155" si="48">INDEX($C$42:$E$42,D129)/INDEX($C$49:$E$49,D129)</f>
        <v>6.5351111111111138E-2</v>
      </c>
      <c r="I129" s="19">
        <f>(E129*$B$20+F129*$B$21+G129*$B$22)*(1+'02_Plan'!$B$32)/10000000</f>
        <v>1.0976212500000001E-2</v>
      </c>
      <c r="J129" s="19">
        <f>INDEX($C$43:$E$43,D129)/INDEX($C$49:$E$49,D129)*(1+'02_Plan'!$B$32)</f>
        <v>3.0827500000000001E-2</v>
      </c>
      <c r="K129" s="19">
        <f t="shared" ref="K129:K155" si="49">0.6*$B$16*IF(A129&gt;=5,INDEX($E$65:$E$155,A129-5+1),0)/10000000+0.4*$B$16*IF(A129&gt;=10,INDEX($E$65:$E$155,A129-10+1),0)/10000000+IF(A129&lt;=$I$4,$H$4/($I$4+1),0)</f>
        <v>4.8257103010752686E-2</v>
      </c>
      <c r="L129" s="19">
        <f t="shared" ref="L129:L155" si="50">IF($B$5=1,F129*$B$18/10000000+IF(A129=0,$H$5,0),IF(A129&gt;=$B$4,INDEX($F$65:$F$155,A129-$B$4+1),0)*$B$17/10000000+IF(A129&lt;=$I$5,$H$5/($I$5+1),0))</f>
        <v>4.0577642741935482E-2</v>
      </c>
      <c r="M129" s="19">
        <f t="shared" ref="M129:M155" si="51">IF(A129&gt;=$B$6,INDEX($G$65:$G$155,A129-$B$6+1),0)*$B$19/10000000+IF(A129&lt;=$I$6,$H$6/($I$6+1),0)</f>
        <v>2.5075E-2</v>
      </c>
      <c r="N129" s="19">
        <f>IF(OR(A129=29,A129=60,A129=90),$B$34*'02_Plan'!$B$25/12,0)</f>
        <v>0</v>
      </c>
      <c r="O129" s="19">
        <f>IF(A129&gt;=$B$7,INDEX($H$65:$H$155,A129-$B$7+1),0)*'02_Plan'!$B$31*(1+'02_Plan'!$B$32)+IF(A129&lt;=$I$7,$H$7/($I$7+1),0)</f>
        <v>7.0069029333333338E-2</v>
      </c>
      <c r="P129" s="19">
        <f>IF(A129&gt;=60,INDEX($H$65:$H$155,A129-60+1),0)*(1-'02_Plan'!$B$31)*(1+'02_Plan'!$B$32)+IF(A129&lt;=$I$8,$H$8/($I$8+1),0)</f>
        <v>2.7249066962962972E-2</v>
      </c>
      <c r="Q129" s="19">
        <f t="shared" ref="Q129:Q155" si="52">IF(AND($B$8&gt;0,A129=($B$8-1)*7),$H$10+$B$62,0)</f>
        <v>0</v>
      </c>
      <c r="R129" s="19">
        <f t="shared" ref="R129:R155" si="53">IF(A129&gt;=15,INDEX($I$65:$I$155,A129-15+1),0)+IF(A129&lt;=$I$9,$H$9/($I$9+1),0)</f>
        <v>1.0032022177419357E-2</v>
      </c>
      <c r="S129" s="19">
        <f>J129+IF(A129=INDEX($C$51:$E$51,D129),INDEX($C$44:$E$44,D129)*(1+'02_Plan'!$B$32),0)</f>
        <v>3.0827500000000001E-2</v>
      </c>
      <c r="T129" s="19">
        <f t="shared" ref="T129:T155" si="54">IF(A129=INDEX($C$51:$E$51,D129),INDEX($C$45:$E$45,D129)*$B$24,0)</f>
        <v>0</v>
      </c>
      <c r="U129" s="19">
        <f t="shared" ref="U129:U155" si="55">$B$10*(IF(A129=19,$B$33,0)+IF(A129=49,$C$61,0)+IF(A129=80,$D$61,0))</f>
        <v>0</v>
      </c>
      <c r="V129" s="19">
        <f t="shared" ref="V129:V155" si="56">$B$10*(IF(A129=29,$B$29,0)+IF(A129=36,$C$45*$B$25,0)+IF(A129=67,$D$45*$B$25,0))</f>
        <v>0</v>
      </c>
      <c r="W129" s="19">
        <f t="shared" ref="W129:W155" si="57">$B$10*(IF(A129=14,$B$30+$B$31,0)+IF(A129=44,$C$45*($B$26+$B$27),0)+IF(A129=75,$D$45*($B$26+$B$27),0))</f>
        <v>0</v>
      </c>
      <c r="X129" s="19">
        <f t="shared" ref="X129:X155" si="58">$B$10*(IF(A129=19,$B$32,0)+IF(A129=49,$C$45*$B$28,0)+IF(A129=80,$D$45*$B$28,0))</f>
        <v>0</v>
      </c>
      <c r="Y129" s="19">
        <f>IF(A129=INDEX($C$50:$E$50,D129)+4,INDEX($C$46:$E$46,D129)*0.3*(1+'02_Plan'!$B$32),0)+IF(A129=INDEX($C$50:$E$50,D129)+9,INDEX($C$46:$E$46,D129)*0.7*(1+'02_Plan'!$B$32),0)</f>
        <v>0</v>
      </c>
      <c r="Z129" s="19">
        <f>IF(A129=INDEX($C$50:$E$50,D129)+14,INDEX($C$47:$E$47,D129)*(1+'02_Plan'!$B$32),0)</f>
        <v>0</v>
      </c>
      <c r="AA129" s="19">
        <f t="shared" ref="AA129:AA155" si="59">IF(AND($B$11&gt;0,A129=($B$11-1)*7+1),$B$12,0)</f>
        <v>0</v>
      </c>
      <c r="AB129" s="19">
        <f t="shared" ref="AB129:AB155" si="60">SUM(K129:N129)</f>
        <v>0.11390974575268817</v>
      </c>
      <c r="AC129" s="19">
        <f t="shared" ref="AC129:AC155" si="61">SUM(O129:AA129)</f>
        <v>0.13817761847371568</v>
      </c>
      <c r="AD129" s="19">
        <f t="shared" ref="AD129:AD160" si="62">AB129-AC129</f>
        <v>-2.4267872721027511E-2</v>
      </c>
    </row>
    <row r="130" spans="1:30" x14ac:dyDescent="0.35">
      <c r="A130" s="14">
        <v>65</v>
      </c>
      <c r="B130" s="30">
        <f t="shared" si="42"/>
        <v>46178</v>
      </c>
      <c r="C130" s="23">
        <f t="shared" si="43"/>
        <v>10</v>
      </c>
      <c r="D130" s="23">
        <f t="shared" si="44"/>
        <v>3</v>
      </c>
      <c r="E130" s="22">
        <f t="shared" si="45"/>
        <v>190</v>
      </c>
      <c r="F130" s="22">
        <f t="shared" si="46"/>
        <v>225</v>
      </c>
      <c r="G130" s="22">
        <f t="shared" si="47"/>
        <v>125</v>
      </c>
      <c r="H130" s="19">
        <f t="shared" si="48"/>
        <v>6.5351111111111138E-2</v>
      </c>
      <c r="I130" s="19">
        <f>(E130*$B$20+F130*$B$21+G130*$B$22)*(1+'02_Plan'!$B$32)/10000000</f>
        <v>1.0976212500000001E-2</v>
      </c>
      <c r="J130" s="19">
        <f>INDEX($C$43:$E$43,D130)/INDEX($C$49:$E$49,D130)*(1+'02_Plan'!$B$32)</f>
        <v>3.0827500000000001E-2</v>
      </c>
      <c r="K130" s="19">
        <f t="shared" si="49"/>
        <v>4.8257103010752686E-2</v>
      </c>
      <c r="L130" s="19">
        <f t="shared" si="50"/>
        <v>4.0577642741935482E-2</v>
      </c>
      <c r="M130" s="19">
        <f t="shared" si="51"/>
        <v>2.5075E-2</v>
      </c>
      <c r="N130" s="19">
        <f>IF(OR(A130=29,A130=60,A130=90),$B$34*'02_Plan'!$B$25/12,0)</f>
        <v>0</v>
      </c>
      <c r="O130" s="19">
        <f>IF(A130&gt;=$B$7,INDEX($H$65:$H$155,A130-$B$7+1),0)*'02_Plan'!$B$31*(1+'02_Plan'!$B$32)+IF(A130&lt;=$I$7,$H$7/($I$7+1),0)</f>
        <v>7.0069029333333338E-2</v>
      </c>
      <c r="P130" s="19">
        <f>IF(A130&gt;=60,INDEX($H$65:$H$155,A130-60+1),0)*(1-'02_Plan'!$B$31)*(1+'02_Plan'!$B$32)+IF(A130&lt;=$I$8,$H$8/($I$8+1),0)</f>
        <v>2.7249066962962972E-2</v>
      </c>
      <c r="Q130" s="19">
        <f t="shared" si="52"/>
        <v>0</v>
      </c>
      <c r="R130" s="19">
        <f t="shared" si="53"/>
        <v>1.0032022177419357E-2</v>
      </c>
      <c r="S130" s="19">
        <f>J130+IF(A130=INDEX($C$51:$E$51,D130),INDEX($C$44:$E$44,D130)*(1+'02_Plan'!$B$32),0)</f>
        <v>3.0827500000000001E-2</v>
      </c>
      <c r="T130" s="19">
        <f t="shared" si="54"/>
        <v>0</v>
      </c>
      <c r="U130" s="19">
        <f t="shared" si="55"/>
        <v>0</v>
      </c>
      <c r="V130" s="19">
        <f t="shared" si="56"/>
        <v>0</v>
      </c>
      <c r="W130" s="19">
        <f t="shared" si="57"/>
        <v>0</v>
      </c>
      <c r="X130" s="19">
        <f t="shared" si="58"/>
        <v>0</v>
      </c>
      <c r="Y130" s="19">
        <f>IF(A130=INDEX($C$50:$E$50,D130)+4,INDEX($C$46:$E$46,D130)*0.3*(1+'02_Plan'!$B$32),0)+IF(A130=INDEX($C$50:$E$50,D130)+9,INDEX($C$46:$E$46,D130)*0.7*(1+'02_Plan'!$B$32),0)</f>
        <v>7.4340000000000003E-2</v>
      </c>
      <c r="Z130" s="19">
        <f>IF(A130=INDEX($C$50:$E$50,D130)+14,INDEX($C$47:$E$47,D130)*(1+'02_Plan'!$B$32),0)</f>
        <v>0</v>
      </c>
      <c r="AA130" s="19">
        <f t="shared" si="59"/>
        <v>0</v>
      </c>
      <c r="AB130" s="19">
        <f t="shared" si="60"/>
        <v>0.11390974575268817</v>
      </c>
      <c r="AC130" s="19">
        <f t="shared" si="61"/>
        <v>0.2125176184737157</v>
      </c>
      <c r="AD130" s="19">
        <f t="shared" si="62"/>
        <v>-9.8607872721027529E-2</v>
      </c>
    </row>
    <row r="131" spans="1:30" x14ac:dyDescent="0.35">
      <c r="A131" s="14">
        <v>66</v>
      </c>
      <c r="B131" s="30">
        <f t="shared" si="42"/>
        <v>46179</v>
      </c>
      <c r="C131" s="23">
        <f t="shared" si="43"/>
        <v>10</v>
      </c>
      <c r="D131" s="23">
        <f t="shared" si="44"/>
        <v>3</v>
      </c>
      <c r="E131" s="22">
        <f t="shared" si="45"/>
        <v>190</v>
      </c>
      <c r="F131" s="22">
        <f t="shared" si="46"/>
        <v>225</v>
      </c>
      <c r="G131" s="22">
        <f t="shared" si="47"/>
        <v>125</v>
      </c>
      <c r="H131" s="19">
        <f t="shared" si="48"/>
        <v>6.5351111111111138E-2</v>
      </c>
      <c r="I131" s="19">
        <f>(E131*$B$20+F131*$B$21+G131*$B$22)*(1+'02_Plan'!$B$32)/10000000</f>
        <v>1.0976212500000001E-2</v>
      </c>
      <c r="J131" s="19">
        <f>INDEX($C$43:$E$43,D131)/INDEX($C$49:$E$49,D131)*(1+'02_Plan'!$B$32)</f>
        <v>3.0827500000000001E-2</v>
      </c>
      <c r="K131" s="19">
        <f t="shared" si="49"/>
        <v>5.0982210004301073E-2</v>
      </c>
      <c r="L131" s="19">
        <f t="shared" si="50"/>
        <v>4.0577642741935482E-2</v>
      </c>
      <c r="M131" s="19">
        <f t="shared" si="51"/>
        <v>2.5075E-2</v>
      </c>
      <c r="N131" s="19">
        <f>IF(OR(A131=29,A131=60,A131=90),$B$34*'02_Plan'!$B$25/12,0)</f>
        <v>0</v>
      </c>
      <c r="O131" s="19">
        <f>IF(A131&gt;=$B$7,INDEX($H$65:$H$155,A131-$B$7+1),0)*'02_Plan'!$B$31*(1+'02_Plan'!$B$32)+IF(A131&lt;=$I$7,$H$7/($I$7+1),0)</f>
        <v>7.0069029333333338E-2</v>
      </c>
      <c r="P131" s="19">
        <f>IF(A131&gt;=60,INDEX($H$65:$H$155,A131-60+1),0)*(1-'02_Plan'!$B$31)*(1+'02_Plan'!$B$32)+IF(A131&lt;=$I$8,$H$8/($I$8+1),0)</f>
        <v>2.7249066962962972E-2</v>
      </c>
      <c r="Q131" s="19">
        <f t="shared" si="52"/>
        <v>0</v>
      </c>
      <c r="R131" s="19">
        <f t="shared" si="53"/>
        <v>1.0032022177419357E-2</v>
      </c>
      <c r="S131" s="19">
        <f>J131+IF(A131=INDEX($C$51:$E$51,D131),INDEX($C$44:$E$44,D131)*(1+'02_Plan'!$B$32),0)</f>
        <v>3.0827500000000001E-2</v>
      </c>
      <c r="T131" s="19">
        <f t="shared" si="54"/>
        <v>0</v>
      </c>
      <c r="U131" s="19">
        <f t="shared" si="55"/>
        <v>0</v>
      </c>
      <c r="V131" s="19">
        <f t="shared" si="56"/>
        <v>0</v>
      </c>
      <c r="W131" s="19">
        <f t="shared" si="57"/>
        <v>0</v>
      </c>
      <c r="X131" s="19">
        <f t="shared" si="58"/>
        <v>0</v>
      </c>
      <c r="Y131" s="19">
        <f>IF(A131=INDEX($C$50:$E$50,D131)+4,INDEX($C$46:$E$46,D131)*0.3*(1+'02_Plan'!$B$32),0)+IF(A131=INDEX($C$50:$E$50,D131)+9,INDEX($C$46:$E$46,D131)*0.7*(1+'02_Plan'!$B$32),0)</f>
        <v>0</v>
      </c>
      <c r="Z131" s="19">
        <f>IF(A131=INDEX($C$50:$E$50,D131)+14,INDEX($C$47:$E$47,D131)*(1+'02_Plan'!$B$32),0)</f>
        <v>0</v>
      </c>
      <c r="AA131" s="19">
        <f t="shared" si="59"/>
        <v>0</v>
      </c>
      <c r="AB131" s="19">
        <f t="shared" si="60"/>
        <v>0.11663485274623656</v>
      </c>
      <c r="AC131" s="19">
        <f t="shared" si="61"/>
        <v>0.13817761847371568</v>
      </c>
      <c r="AD131" s="19">
        <f t="shared" si="62"/>
        <v>-2.1542765727479124E-2</v>
      </c>
    </row>
    <row r="132" spans="1:30" x14ac:dyDescent="0.35">
      <c r="A132" s="14">
        <v>67</v>
      </c>
      <c r="B132" s="30">
        <f t="shared" si="42"/>
        <v>46180</v>
      </c>
      <c r="C132" s="23">
        <f t="shared" si="43"/>
        <v>10</v>
      </c>
      <c r="D132" s="23">
        <f t="shared" si="44"/>
        <v>3</v>
      </c>
      <c r="E132" s="22">
        <f t="shared" si="45"/>
        <v>190</v>
      </c>
      <c r="F132" s="22">
        <f t="shared" si="46"/>
        <v>225</v>
      </c>
      <c r="G132" s="22">
        <f t="shared" si="47"/>
        <v>125</v>
      </c>
      <c r="H132" s="19">
        <f t="shared" si="48"/>
        <v>6.5351111111111138E-2</v>
      </c>
      <c r="I132" s="19">
        <f>(E132*$B$20+F132*$B$21+G132*$B$22)*(1+'02_Plan'!$B$32)/10000000</f>
        <v>1.0976212500000001E-2</v>
      </c>
      <c r="J132" s="19">
        <f>INDEX($C$43:$E$43,D132)/INDEX($C$49:$E$49,D132)*(1+'02_Plan'!$B$32)</f>
        <v>3.0827500000000001E-2</v>
      </c>
      <c r="K132" s="19">
        <f t="shared" si="49"/>
        <v>5.0982210004301073E-2</v>
      </c>
      <c r="L132" s="19">
        <f t="shared" si="50"/>
        <v>4.0577642741935482E-2</v>
      </c>
      <c r="M132" s="19">
        <f t="shared" si="51"/>
        <v>2.5075E-2</v>
      </c>
      <c r="N132" s="19">
        <f>IF(OR(A132=29,A132=60,A132=90),$B$34*'02_Plan'!$B$25/12,0)</f>
        <v>0</v>
      </c>
      <c r="O132" s="19">
        <f>IF(A132&gt;=$B$7,INDEX($H$65:$H$155,A132-$B$7+1),0)*'02_Plan'!$B$31*(1+'02_Plan'!$B$32)+IF(A132&lt;=$I$7,$H$7/($I$7+1),0)</f>
        <v>7.0069029333333338E-2</v>
      </c>
      <c r="P132" s="19">
        <f>IF(A132&gt;=60,INDEX($H$65:$H$155,A132-60+1),0)*(1-'02_Plan'!$B$31)*(1+'02_Plan'!$B$32)+IF(A132&lt;=$I$8,$H$8/($I$8+1),0)</f>
        <v>2.7249066962962972E-2</v>
      </c>
      <c r="Q132" s="19">
        <f t="shared" si="52"/>
        <v>0</v>
      </c>
      <c r="R132" s="19">
        <f t="shared" si="53"/>
        <v>1.0032022177419357E-2</v>
      </c>
      <c r="S132" s="19">
        <f>J132+IF(A132=INDEX($C$51:$E$51,D132),INDEX($C$44:$E$44,D132)*(1+'02_Plan'!$B$32),0)</f>
        <v>3.0827500000000001E-2</v>
      </c>
      <c r="T132" s="19">
        <f t="shared" si="54"/>
        <v>0</v>
      </c>
      <c r="U132" s="19">
        <f t="shared" si="55"/>
        <v>0</v>
      </c>
      <c r="V132" s="19">
        <f t="shared" si="56"/>
        <v>4.9993750000000003E-2</v>
      </c>
      <c r="W132" s="19">
        <f t="shared" si="57"/>
        <v>0</v>
      </c>
      <c r="X132" s="19">
        <f t="shared" si="58"/>
        <v>0</v>
      </c>
      <c r="Y132" s="19">
        <f>IF(A132=INDEX($C$50:$E$50,D132)+4,INDEX($C$46:$E$46,D132)*0.3*(1+'02_Plan'!$B$32),0)+IF(A132=INDEX($C$50:$E$50,D132)+9,INDEX($C$46:$E$46,D132)*0.7*(1+'02_Plan'!$B$32),0)</f>
        <v>0</v>
      </c>
      <c r="Z132" s="19">
        <f>IF(A132=INDEX($C$50:$E$50,D132)+14,INDEX($C$47:$E$47,D132)*(1+'02_Plan'!$B$32),0)</f>
        <v>0</v>
      </c>
      <c r="AA132" s="19">
        <f t="shared" si="59"/>
        <v>0</v>
      </c>
      <c r="AB132" s="19">
        <f t="shared" si="60"/>
        <v>0.11663485274623656</v>
      </c>
      <c r="AC132" s="19">
        <f t="shared" si="61"/>
        <v>0.18817136847371568</v>
      </c>
      <c r="AD132" s="19">
        <f t="shared" si="62"/>
        <v>-7.1536515727479127E-2</v>
      </c>
    </row>
    <row r="133" spans="1:30" x14ac:dyDescent="0.35">
      <c r="A133" s="14">
        <v>68</v>
      </c>
      <c r="B133" s="30">
        <f t="shared" si="42"/>
        <v>46181</v>
      </c>
      <c r="C133" s="23">
        <f t="shared" si="43"/>
        <v>10</v>
      </c>
      <c r="D133" s="23">
        <f t="shared" si="44"/>
        <v>3</v>
      </c>
      <c r="E133" s="22">
        <f t="shared" si="45"/>
        <v>190</v>
      </c>
      <c r="F133" s="22">
        <f t="shared" si="46"/>
        <v>225</v>
      </c>
      <c r="G133" s="22">
        <f t="shared" si="47"/>
        <v>125</v>
      </c>
      <c r="H133" s="19">
        <f t="shared" si="48"/>
        <v>6.5351111111111138E-2</v>
      </c>
      <c r="I133" s="19">
        <f>(E133*$B$20+F133*$B$21+G133*$B$22)*(1+'02_Plan'!$B$32)/10000000</f>
        <v>1.0976212500000001E-2</v>
      </c>
      <c r="J133" s="19">
        <f>INDEX($C$43:$E$43,D133)/INDEX($C$49:$E$49,D133)*(1+'02_Plan'!$B$32)</f>
        <v>3.0827500000000001E-2</v>
      </c>
      <c r="K133" s="19">
        <f t="shared" si="49"/>
        <v>5.0982210004301073E-2</v>
      </c>
      <c r="L133" s="19">
        <f t="shared" si="50"/>
        <v>4.0577642741935482E-2</v>
      </c>
      <c r="M133" s="19">
        <f t="shared" si="51"/>
        <v>2.5075E-2</v>
      </c>
      <c r="N133" s="19">
        <f>IF(OR(A133=29,A133=60,A133=90),$B$34*'02_Plan'!$B$25/12,0)</f>
        <v>0</v>
      </c>
      <c r="O133" s="19">
        <f>IF(A133&gt;=$B$7,INDEX($H$65:$H$155,A133-$B$7+1),0)*'02_Plan'!$B$31*(1+'02_Plan'!$B$32)+IF(A133&lt;=$I$7,$H$7/($I$7+1),0)</f>
        <v>7.0069029333333338E-2</v>
      </c>
      <c r="P133" s="19">
        <f>IF(A133&gt;=60,INDEX($H$65:$H$155,A133-60+1),0)*(1-'02_Plan'!$B$31)*(1+'02_Plan'!$B$32)+IF(A133&lt;=$I$8,$H$8/($I$8+1),0)</f>
        <v>2.7249066962962972E-2</v>
      </c>
      <c r="Q133" s="19">
        <f t="shared" si="52"/>
        <v>0</v>
      </c>
      <c r="R133" s="19">
        <f t="shared" si="53"/>
        <v>1.0032022177419357E-2</v>
      </c>
      <c r="S133" s="19">
        <f>J133+IF(A133=INDEX($C$51:$E$51,D133),INDEX($C$44:$E$44,D133)*(1+'02_Plan'!$B$32),0)</f>
        <v>3.0827500000000001E-2</v>
      </c>
      <c r="T133" s="19">
        <f t="shared" si="54"/>
        <v>0</v>
      </c>
      <c r="U133" s="19">
        <f t="shared" si="55"/>
        <v>0</v>
      </c>
      <c r="V133" s="19">
        <f t="shared" si="56"/>
        <v>0</v>
      </c>
      <c r="W133" s="19">
        <f t="shared" si="57"/>
        <v>0</v>
      </c>
      <c r="X133" s="19">
        <f t="shared" si="58"/>
        <v>0</v>
      </c>
      <c r="Y133" s="19">
        <f>IF(A133=INDEX($C$50:$E$50,D133)+4,INDEX($C$46:$E$46,D133)*0.3*(1+'02_Plan'!$B$32),0)+IF(A133=INDEX($C$50:$E$50,D133)+9,INDEX($C$46:$E$46,D133)*0.7*(1+'02_Plan'!$B$32),0)</f>
        <v>0</v>
      </c>
      <c r="Z133" s="19">
        <f>IF(A133=INDEX($C$50:$E$50,D133)+14,INDEX($C$47:$E$47,D133)*(1+'02_Plan'!$B$32),0)</f>
        <v>0</v>
      </c>
      <c r="AA133" s="19">
        <f t="shared" si="59"/>
        <v>0</v>
      </c>
      <c r="AB133" s="19">
        <f t="shared" si="60"/>
        <v>0.11663485274623656</v>
      </c>
      <c r="AC133" s="19">
        <f t="shared" si="61"/>
        <v>0.13817761847371568</v>
      </c>
      <c r="AD133" s="19">
        <f t="shared" si="62"/>
        <v>-2.1542765727479124E-2</v>
      </c>
    </row>
    <row r="134" spans="1:30" x14ac:dyDescent="0.35">
      <c r="A134" s="14">
        <v>69</v>
      </c>
      <c r="B134" s="30">
        <f t="shared" si="42"/>
        <v>46182</v>
      </c>
      <c r="C134" s="23">
        <f t="shared" si="43"/>
        <v>10</v>
      </c>
      <c r="D134" s="23">
        <f t="shared" si="44"/>
        <v>3</v>
      </c>
      <c r="E134" s="22">
        <f t="shared" si="45"/>
        <v>190</v>
      </c>
      <c r="F134" s="22">
        <f t="shared" si="46"/>
        <v>225</v>
      </c>
      <c r="G134" s="22">
        <f t="shared" si="47"/>
        <v>125</v>
      </c>
      <c r="H134" s="19">
        <f t="shared" si="48"/>
        <v>6.5351111111111138E-2</v>
      </c>
      <c r="I134" s="19">
        <f>(E134*$B$20+F134*$B$21+G134*$B$22)*(1+'02_Plan'!$B$32)/10000000</f>
        <v>1.0976212500000001E-2</v>
      </c>
      <c r="J134" s="19">
        <f>INDEX($C$43:$E$43,D134)/INDEX($C$49:$E$49,D134)*(1+'02_Plan'!$B$32)</f>
        <v>3.0827500000000001E-2</v>
      </c>
      <c r="K134" s="19">
        <f t="shared" si="49"/>
        <v>5.0982210004301073E-2</v>
      </c>
      <c r="L134" s="19">
        <f t="shared" si="50"/>
        <v>4.0577642741935482E-2</v>
      </c>
      <c r="M134" s="19">
        <f t="shared" si="51"/>
        <v>2.5075E-2</v>
      </c>
      <c r="N134" s="19">
        <f>IF(OR(A134=29,A134=60,A134=90),$B$34*'02_Plan'!$B$25/12,0)</f>
        <v>0</v>
      </c>
      <c r="O134" s="19">
        <f>IF(A134&gt;=$B$7,INDEX($H$65:$H$155,A134-$B$7+1),0)*'02_Plan'!$B$31*(1+'02_Plan'!$B$32)+IF(A134&lt;=$I$7,$H$7/($I$7+1),0)</f>
        <v>7.0069029333333338E-2</v>
      </c>
      <c r="P134" s="19">
        <f>IF(A134&gt;=60,INDEX($H$65:$H$155,A134-60+1),0)*(1-'02_Plan'!$B$31)*(1+'02_Plan'!$B$32)+IF(A134&lt;=$I$8,$H$8/($I$8+1),0)</f>
        <v>2.7249066962962972E-2</v>
      </c>
      <c r="Q134" s="19">
        <f t="shared" si="52"/>
        <v>0</v>
      </c>
      <c r="R134" s="19">
        <f t="shared" si="53"/>
        <v>1.0032022177419357E-2</v>
      </c>
      <c r="S134" s="19">
        <f>J134+IF(A134=INDEX($C$51:$E$51,D134),INDEX($C$44:$E$44,D134)*(1+'02_Plan'!$B$32),0)</f>
        <v>3.0827500000000001E-2</v>
      </c>
      <c r="T134" s="19">
        <f t="shared" si="54"/>
        <v>0</v>
      </c>
      <c r="U134" s="19">
        <f t="shared" si="55"/>
        <v>0</v>
      </c>
      <c r="V134" s="19">
        <f t="shared" si="56"/>
        <v>0</v>
      </c>
      <c r="W134" s="19">
        <f t="shared" si="57"/>
        <v>0</v>
      </c>
      <c r="X134" s="19">
        <f t="shared" si="58"/>
        <v>0</v>
      </c>
      <c r="Y134" s="19">
        <f>IF(A134=INDEX($C$50:$E$50,D134)+4,INDEX($C$46:$E$46,D134)*0.3*(1+'02_Plan'!$B$32),0)+IF(A134=INDEX($C$50:$E$50,D134)+9,INDEX($C$46:$E$46,D134)*0.7*(1+'02_Plan'!$B$32),0)</f>
        <v>0</v>
      </c>
      <c r="Z134" s="19">
        <f>IF(A134=INDEX($C$50:$E$50,D134)+14,INDEX($C$47:$E$47,D134)*(1+'02_Plan'!$B$32),0)</f>
        <v>0</v>
      </c>
      <c r="AA134" s="19">
        <f t="shared" si="59"/>
        <v>0</v>
      </c>
      <c r="AB134" s="19">
        <f t="shared" si="60"/>
        <v>0.11663485274623656</v>
      </c>
      <c r="AC134" s="19">
        <f t="shared" si="61"/>
        <v>0.13817761847371568</v>
      </c>
      <c r="AD134" s="19">
        <f t="shared" si="62"/>
        <v>-2.1542765727479124E-2</v>
      </c>
    </row>
    <row r="135" spans="1:30" x14ac:dyDescent="0.35">
      <c r="A135" s="14">
        <v>70</v>
      </c>
      <c r="B135" s="30">
        <f t="shared" si="42"/>
        <v>46183</v>
      </c>
      <c r="C135" s="23">
        <f t="shared" si="43"/>
        <v>11</v>
      </c>
      <c r="D135" s="23">
        <f t="shared" si="44"/>
        <v>3</v>
      </c>
      <c r="E135" s="22">
        <f t="shared" si="45"/>
        <v>190</v>
      </c>
      <c r="F135" s="22">
        <f t="shared" si="46"/>
        <v>225</v>
      </c>
      <c r="G135" s="22">
        <f t="shared" si="47"/>
        <v>125</v>
      </c>
      <c r="H135" s="19">
        <f t="shared" si="48"/>
        <v>6.5351111111111138E-2</v>
      </c>
      <c r="I135" s="19">
        <f>(E135*$B$20+F135*$B$21+G135*$B$22)*(1+'02_Plan'!$B$32)/10000000</f>
        <v>1.0976212500000001E-2</v>
      </c>
      <c r="J135" s="19">
        <f>INDEX($C$43:$E$43,D135)/INDEX($C$49:$E$49,D135)*(1+'02_Plan'!$B$32)</f>
        <v>3.0827500000000001E-2</v>
      </c>
      <c r="K135" s="19">
        <f t="shared" si="49"/>
        <v>5.0982210004301073E-2</v>
      </c>
      <c r="L135" s="19">
        <f t="shared" si="50"/>
        <v>4.0577642741935482E-2</v>
      </c>
      <c r="M135" s="19">
        <f t="shared" si="51"/>
        <v>2.5075E-2</v>
      </c>
      <c r="N135" s="19">
        <f>IF(OR(A135=29,A135=60,A135=90),$B$34*'02_Plan'!$B$25/12,0)</f>
        <v>0</v>
      </c>
      <c r="O135" s="19">
        <f>IF(A135&gt;=$B$7,INDEX($H$65:$H$155,A135-$B$7+1),0)*'02_Plan'!$B$31*(1+'02_Plan'!$B$32)+IF(A135&lt;=$I$7,$H$7/($I$7+1),0)</f>
        <v>7.0069029333333338E-2</v>
      </c>
      <c r="P135" s="19">
        <f>IF(A135&gt;=60,INDEX($H$65:$H$155,A135-60+1),0)*(1-'02_Plan'!$B$31)*(1+'02_Plan'!$B$32)+IF(A135&lt;=$I$8,$H$8/($I$8+1),0)</f>
        <v>2.7249066962962972E-2</v>
      </c>
      <c r="Q135" s="19">
        <f t="shared" si="52"/>
        <v>0</v>
      </c>
      <c r="R135" s="19">
        <f t="shared" si="53"/>
        <v>1.0032022177419357E-2</v>
      </c>
      <c r="S135" s="19">
        <f>J135+IF(A135=INDEX($C$51:$E$51,D135),INDEX($C$44:$E$44,D135)*(1+'02_Plan'!$B$32),0)</f>
        <v>3.0827500000000001E-2</v>
      </c>
      <c r="T135" s="19">
        <f t="shared" si="54"/>
        <v>0</v>
      </c>
      <c r="U135" s="19">
        <f t="shared" si="55"/>
        <v>0</v>
      </c>
      <c r="V135" s="19">
        <f t="shared" si="56"/>
        <v>0</v>
      </c>
      <c r="W135" s="19">
        <f t="shared" si="57"/>
        <v>0</v>
      </c>
      <c r="X135" s="19">
        <f t="shared" si="58"/>
        <v>0</v>
      </c>
      <c r="Y135" s="19">
        <f>IF(A135=INDEX($C$50:$E$50,D135)+4,INDEX($C$46:$E$46,D135)*0.3*(1+'02_Plan'!$B$32),0)+IF(A135=INDEX($C$50:$E$50,D135)+9,INDEX($C$46:$E$46,D135)*0.7*(1+'02_Plan'!$B$32),0)</f>
        <v>0.17345999999999998</v>
      </c>
      <c r="Z135" s="19">
        <f>IF(A135=INDEX($C$50:$E$50,D135)+14,INDEX($C$47:$E$47,D135)*(1+'02_Plan'!$B$32),0)</f>
        <v>0</v>
      </c>
      <c r="AA135" s="19">
        <f t="shared" si="59"/>
        <v>0</v>
      </c>
      <c r="AB135" s="19">
        <f t="shared" si="60"/>
        <v>0.11663485274623656</v>
      </c>
      <c r="AC135" s="19">
        <f t="shared" si="61"/>
        <v>0.31163761847371563</v>
      </c>
      <c r="AD135" s="19">
        <f t="shared" si="62"/>
        <v>-0.19500276572747907</v>
      </c>
    </row>
    <row r="136" spans="1:30" x14ac:dyDescent="0.35">
      <c r="A136" s="14">
        <v>71</v>
      </c>
      <c r="B136" s="30">
        <f t="shared" si="42"/>
        <v>46184</v>
      </c>
      <c r="C136" s="23">
        <f t="shared" si="43"/>
        <v>11</v>
      </c>
      <c r="D136" s="23">
        <f t="shared" si="44"/>
        <v>3</v>
      </c>
      <c r="E136" s="22">
        <f t="shared" si="45"/>
        <v>190</v>
      </c>
      <c r="F136" s="22">
        <f t="shared" si="46"/>
        <v>225</v>
      </c>
      <c r="G136" s="22">
        <f t="shared" si="47"/>
        <v>125</v>
      </c>
      <c r="H136" s="19">
        <f t="shared" si="48"/>
        <v>6.5351111111111138E-2</v>
      </c>
      <c r="I136" s="19">
        <f>(E136*$B$20+F136*$B$21+G136*$B$22)*(1+'02_Plan'!$B$32)/10000000</f>
        <v>1.0976212500000001E-2</v>
      </c>
      <c r="J136" s="19">
        <f>INDEX($C$43:$E$43,D136)/INDEX($C$49:$E$49,D136)*(1+'02_Plan'!$B$32)</f>
        <v>3.0827500000000001E-2</v>
      </c>
      <c r="K136" s="19">
        <f t="shared" si="49"/>
        <v>5.2798947999999998E-2</v>
      </c>
      <c r="L136" s="19">
        <f t="shared" si="50"/>
        <v>4.0577642741935482E-2</v>
      </c>
      <c r="M136" s="19">
        <f t="shared" si="51"/>
        <v>2.5075E-2</v>
      </c>
      <c r="N136" s="19">
        <f>IF(OR(A136=29,A136=60,A136=90),$B$34*'02_Plan'!$B$25/12,0)</f>
        <v>0</v>
      </c>
      <c r="O136" s="19">
        <f>IF(A136&gt;=$B$7,INDEX($H$65:$H$155,A136-$B$7+1),0)*'02_Plan'!$B$31*(1+'02_Plan'!$B$32)+IF(A136&lt;=$I$7,$H$7/($I$7+1),0)</f>
        <v>7.0069029333333338E-2</v>
      </c>
      <c r="P136" s="19">
        <f>IF(A136&gt;=60,INDEX($H$65:$H$155,A136-60+1),0)*(1-'02_Plan'!$B$31)*(1+'02_Plan'!$B$32)+IF(A136&lt;=$I$8,$H$8/($I$8+1),0)</f>
        <v>2.7249066962962972E-2</v>
      </c>
      <c r="Q136" s="19">
        <f t="shared" si="52"/>
        <v>0</v>
      </c>
      <c r="R136" s="19">
        <f t="shared" si="53"/>
        <v>1.0032022177419357E-2</v>
      </c>
      <c r="S136" s="19">
        <f>J136+IF(A136=INDEX($C$51:$E$51,D136),INDEX($C$44:$E$44,D136)*(1+'02_Plan'!$B$32),0)</f>
        <v>3.0827500000000001E-2</v>
      </c>
      <c r="T136" s="19">
        <f t="shared" si="54"/>
        <v>0</v>
      </c>
      <c r="U136" s="19">
        <f t="shared" si="55"/>
        <v>0</v>
      </c>
      <c r="V136" s="19">
        <f t="shared" si="56"/>
        <v>0</v>
      </c>
      <c r="W136" s="19">
        <f t="shared" si="57"/>
        <v>0</v>
      </c>
      <c r="X136" s="19">
        <f t="shared" si="58"/>
        <v>0</v>
      </c>
      <c r="Y136" s="19">
        <f>IF(A136=INDEX($C$50:$E$50,D136)+4,INDEX($C$46:$E$46,D136)*0.3*(1+'02_Plan'!$B$32),0)+IF(A136=INDEX($C$50:$E$50,D136)+9,INDEX($C$46:$E$46,D136)*0.7*(1+'02_Plan'!$B$32),0)</f>
        <v>0</v>
      </c>
      <c r="Z136" s="19">
        <f>IF(A136=INDEX($C$50:$E$50,D136)+14,INDEX($C$47:$E$47,D136)*(1+'02_Plan'!$B$32),0)</f>
        <v>0</v>
      </c>
      <c r="AA136" s="19">
        <f t="shared" si="59"/>
        <v>0.9</v>
      </c>
      <c r="AB136" s="19">
        <f t="shared" si="60"/>
        <v>0.11845159074193548</v>
      </c>
      <c r="AC136" s="19">
        <f t="shared" si="61"/>
        <v>1.0381776184737157</v>
      </c>
      <c r="AD136" s="19">
        <f t="shared" si="62"/>
        <v>-0.91972602773178025</v>
      </c>
    </row>
    <row r="137" spans="1:30" x14ac:dyDescent="0.35">
      <c r="A137" s="14">
        <v>72</v>
      </c>
      <c r="B137" s="30">
        <f t="shared" si="42"/>
        <v>46185</v>
      </c>
      <c r="C137" s="23">
        <f t="shared" si="43"/>
        <v>11</v>
      </c>
      <c r="D137" s="23">
        <f t="shared" si="44"/>
        <v>3</v>
      </c>
      <c r="E137" s="22">
        <f t="shared" si="45"/>
        <v>190</v>
      </c>
      <c r="F137" s="22">
        <f t="shared" si="46"/>
        <v>225</v>
      </c>
      <c r="G137" s="22">
        <f t="shared" si="47"/>
        <v>125</v>
      </c>
      <c r="H137" s="19">
        <f t="shared" si="48"/>
        <v>6.5351111111111138E-2</v>
      </c>
      <c r="I137" s="19">
        <f>(E137*$B$20+F137*$B$21+G137*$B$22)*(1+'02_Plan'!$B$32)/10000000</f>
        <v>1.0976212500000001E-2</v>
      </c>
      <c r="J137" s="19">
        <f>INDEX($C$43:$E$43,D137)/INDEX($C$49:$E$49,D137)*(1+'02_Plan'!$B$32)</f>
        <v>3.0827500000000001E-2</v>
      </c>
      <c r="K137" s="19">
        <f t="shared" si="49"/>
        <v>5.2798947999999998E-2</v>
      </c>
      <c r="L137" s="19">
        <f t="shared" si="50"/>
        <v>4.4396714999999996E-2</v>
      </c>
      <c r="M137" s="19">
        <f t="shared" si="51"/>
        <v>2.5075E-2</v>
      </c>
      <c r="N137" s="19">
        <f>IF(OR(A137=29,A137=60,A137=90),$B$34*'02_Plan'!$B$25/12,0)</f>
        <v>0</v>
      </c>
      <c r="O137" s="19">
        <f>IF(A137&gt;=$B$7,INDEX($H$65:$H$155,A137-$B$7+1),0)*'02_Plan'!$B$31*(1+'02_Plan'!$B$32)+IF(A137&lt;=$I$7,$H$7/($I$7+1),0)</f>
        <v>7.0069029333333338E-2</v>
      </c>
      <c r="P137" s="19">
        <f>IF(A137&gt;=60,INDEX($H$65:$H$155,A137-60+1),0)*(1-'02_Plan'!$B$31)*(1+'02_Plan'!$B$32)+IF(A137&lt;=$I$8,$H$8/($I$8+1),0)</f>
        <v>2.7249066962962972E-2</v>
      </c>
      <c r="Q137" s="19">
        <f t="shared" si="52"/>
        <v>0</v>
      </c>
      <c r="R137" s="19">
        <f t="shared" si="53"/>
        <v>1.0032022177419357E-2</v>
      </c>
      <c r="S137" s="19">
        <f>J137+IF(A137=INDEX($C$51:$E$51,D137),INDEX($C$44:$E$44,D137)*(1+'02_Plan'!$B$32),0)</f>
        <v>3.0827500000000001E-2</v>
      </c>
      <c r="T137" s="19">
        <f t="shared" si="54"/>
        <v>0</v>
      </c>
      <c r="U137" s="19">
        <f t="shared" si="55"/>
        <v>0</v>
      </c>
      <c r="V137" s="19">
        <f t="shared" si="56"/>
        <v>0</v>
      </c>
      <c r="W137" s="19">
        <f t="shared" si="57"/>
        <v>0</v>
      </c>
      <c r="X137" s="19">
        <f t="shared" si="58"/>
        <v>0</v>
      </c>
      <c r="Y137" s="19">
        <f>IF(A137=INDEX($C$50:$E$50,D137)+4,INDEX($C$46:$E$46,D137)*0.3*(1+'02_Plan'!$B$32),0)+IF(A137=INDEX($C$50:$E$50,D137)+9,INDEX($C$46:$E$46,D137)*0.7*(1+'02_Plan'!$B$32),0)</f>
        <v>0</v>
      </c>
      <c r="Z137" s="19">
        <f>IF(A137=INDEX($C$50:$E$50,D137)+14,INDEX($C$47:$E$47,D137)*(1+'02_Plan'!$B$32),0)</f>
        <v>0</v>
      </c>
      <c r="AA137" s="19">
        <f t="shared" si="59"/>
        <v>0</v>
      </c>
      <c r="AB137" s="19">
        <f t="shared" si="60"/>
        <v>0.12227066299999999</v>
      </c>
      <c r="AC137" s="19">
        <f t="shared" si="61"/>
        <v>0.13817761847371568</v>
      </c>
      <c r="AD137" s="19">
        <f t="shared" si="62"/>
        <v>-1.5906955473715692E-2</v>
      </c>
    </row>
    <row r="138" spans="1:30" x14ac:dyDescent="0.35">
      <c r="A138" s="14">
        <v>73</v>
      </c>
      <c r="B138" s="30">
        <f t="shared" si="42"/>
        <v>46186</v>
      </c>
      <c r="C138" s="23">
        <f t="shared" si="43"/>
        <v>11</v>
      </c>
      <c r="D138" s="23">
        <f t="shared" si="44"/>
        <v>3</v>
      </c>
      <c r="E138" s="22">
        <f t="shared" si="45"/>
        <v>190</v>
      </c>
      <c r="F138" s="22">
        <f t="shared" si="46"/>
        <v>225</v>
      </c>
      <c r="G138" s="22">
        <f t="shared" si="47"/>
        <v>125</v>
      </c>
      <c r="H138" s="19">
        <f t="shared" si="48"/>
        <v>6.5351111111111138E-2</v>
      </c>
      <c r="I138" s="19">
        <f>(E138*$B$20+F138*$B$21+G138*$B$22)*(1+'02_Plan'!$B$32)/10000000</f>
        <v>1.0976212500000001E-2</v>
      </c>
      <c r="J138" s="19">
        <f>INDEX($C$43:$E$43,D138)/INDEX($C$49:$E$49,D138)*(1+'02_Plan'!$B$32)</f>
        <v>3.0827500000000001E-2</v>
      </c>
      <c r="K138" s="19">
        <f t="shared" si="49"/>
        <v>5.2798947999999998E-2</v>
      </c>
      <c r="L138" s="19">
        <f t="shared" si="50"/>
        <v>4.4396714999999996E-2</v>
      </c>
      <c r="M138" s="19">
        <f t="shared" si="51"/>
        <v>2.5075E-2</v>
      </c>
      <c r="N138" s="19">
        <f>IF(OR(A138=29,A138=60,A138=90),$B$34*'02_Plan'!$B$25/12,0)</f>
        <v>0</v>
      </c>
      <c r="O138" s="19">
        <f>IF(A138&gt;=$B$7,INDEX($H$65:$H$155,A138-$B$7+1),0)*'02_Plan'!$B$31*(1+'02_Plan'!$B$32)+IF(A138&lt;=$I$7,$H$7/($I$7+1),0)</f>
        <v>7.0069029333333338E-2</v>
      </c>
      <c r="P138" s="19">
        <f>IF(A138&gt;=60,INDEX($H$65:$H$155,A138-60+1),0)*(1-'02_Plan'!$B$31)*(1+'02_Plan'!$B$32)+IF(A138&lt;=$I$8,$H$8/($I$8+1),0)</f>
        <v>2.7249066962962972E-2</v>
      </c>
      <c r="Q138" s="19">
        <f t="shared" si="52"/>
        <v>0</v>
      </c>
      <c r="R138" s="19">
        <f t="shared" si="53"/>
        <v>1.0032022177419357E-2</v>
      </c>
      <c r="S138" s="19">
        <f>J138+IF(A138=INDEX($C$51:$E$51,D138),INDEX($C$44:$E$44,D138)*(1+'02_Plan'!$B$32),0)</f>
        <v>3.0827500000000001E-2</v>
      </c>
      <c r="T138" s="19">
        <f t="shared" si="54"/>
        <v>0</v>
      </c>
      <c r="U138" s="19">
        <f t="shared" si="55"/>
        <v>0</v>
      </c>
      <c r="V138" s="19">
        <f t="shared" si="56"/>
        <v>0</v>
      </c>
      <c r="W138" s="19">
        <f t="shared" si="57"/>
        <v>0</v>
      </c>
      <c r="X138" s="19">
        <f t="shared" si="58"/>
        <v>0</v>
      </c>
      <c r="Y138" s="19">
        <f>IF(A138=INDEX($C$50:$E$50,D138)+4,INDEX($C$46:$E$46,D138)*0.3*(1+'02_Plan'!$B$32),0)+IF(A138=INDEX($C$50:$E$50,D138)+9,INDEX($C$46:$E$46,D138)*0.7*(1+'02_Plan'!$B$32),0)</f>
        <v>0</v>
      </c>
      <c r="Z138" s="19">
        <f>IF(A138=INDEX($C$50:$E$50,D138)+14,INDEX($C$47:$E$47,D138)*(1+'02_Plan'!$B$32),0)</f>
        <v>0</v>
      </c>
      <c r="AA138" s="19">
        <f t="shared" si="59"/>
        <v>0</v>
      </c>
      <c r="AB138" s="19">
        <f t="shared" si="60"/>
        <v>0.12227066299999999</v>
      </c>
      <c r="AC138" s="19">
        <f t="shared" si="61"/>
        <v>0.13817761847371568</v>
      </c>
      <c r="AD138" s="19">
        <f t="shared" si="62"/>
        <v>-1.5906955473715692E-2</v>
      </c>
    </row>
    <row r="139" spans="1:30" x14ac:dyDescent="0.35">
      <c r="A139" s="14">
        <v>74</v>
      </c>
      <c r="B139" s="30">
        <f t="shared" si="42"/>
        <v>46187</v>
      </c>
      <c r="C139" s="23">
        <f t="shared" si="43"/>
        <v>11</v>
      </c>
      <c r="D139" s="23">
        <f t="shared" si="44"/>
        <v>3</v>
      </c>
      <c r="E139" s="22">
        <f t="shared" si="45"/>
        <v>190</v>
      </c>
      <c r="F139" s="22">
        <f t="shared" si="46"/>
        <v>225</v>
      </c>
      <c r="G139" s="22">
        <f t="shared" si="47"/>
        <v>125</v>
      </c>
      <c r="H139" s="19">
        <f t="shared" si="48"/>
        <v>6.5351111111111138E-2</v>
      </c>
      <c r="I139" s="19">
        <f>(E139*$B$20+F139*$B$21+G139*$B$22)*(1+'02_Plan'!$B$32)/10000000</f>
        <v>1.0976212500000001E-2</v>
      </c>
      <c r="J139" s="19">
        <f>INDEX($C$43:$E$43,D139)/INDEX($C$49:$E$49,D139)*(1+'02_Plan'!$B$32)</f>
        <v>3.0827500000000001E-2</v>
      </c>
      <c r="K139" s="19">
        <f t="shared" si="49"/>
        <v>5.2798947999999998E-2</v>
      </c>
      <c r="L139" s="19">
        <f t="shared" si="50"/>
        <v>4.4396714999999996E-2</v>
      </c>
      <c r="M139" s="19">
        <f t="shared" si="51"/>
        <v>2.5075E-2</v>
      </c>
      <c r="N139" s="19">
        <f>IF(OR(A139=29,A139=60,A139=90),$B$34*'02_Plan'!$B$25/12,0)</f>
        <v>0</v>
      </c>
      <c r="O139" s="19">
        <f>IF(A139&gt;=$B$7,INDEX($H$65:$H$155,A139-$B$7+1),0)*'02_Plan'!$B$31*(1+'02_Plan'!$B$32)+IF(A139&lt;=$I$7,$H$7/($I$7+1),0)</f>
        <v>7.0069029333333338E-2</v>
      </c>
      <c r="P139" s="19">
        <f>IF(A139&gt;=60,INDEX($H$65:$H$155,A139-60+1),0)*(1-'02_Plan'!$B$31)*(1+'02_Plan'!$B$32)+IF(A139&lt;=$I$8,$H$8/($I$8+1),0)</f>
        <v>2.7249066962962972E-2</v>
      </c>
      <c r="Q139" s="19">
        <f t="shared" si="52"/>
        <v>0</v>
      </c>
      <c r="R139" s="19">
        <f t="shared" si="53"/>
        <v>1.0032022177419357E-2</v>
      </c>
      <c r="S139" s="19">
        <f>J139+IF(A139=INDEX($C$51:$E$51,D139),INDEX($C$44:$E$44,D139)*(1+'02_Plan'!$B$32),0)</f>
        <v>3.0827500000000001E-2</v>
      </c>
      <c r="T139" s="19">
        <f t="shared" si="54"/>
        <v>0</v>
      </c>
      <c r="U139" s="19">
        <f t="shared" si="55"/>
        <v>0</v>
      </c>
      <c r="V139" s="19">
        <f t="shared" si="56"/>
        <v>0</v>
      </c>
      <c r="W139" s="19">
        <f t="shared" si="57"/>
        <v>0</v>
      </c>
      <c r="X139" s="19">
        <f t="shared" si="58"/>
        <v>0</v>
      </c>
      <c r="Y139" s="19">
        <f>IF(A139=INDEX($C$50:$E$50,D139)+4,INDEX($C$46:$E$46,D139)*0.3*(1+'02_Plan'!$B$32),0)+IF(A139=INDEX($C$50:$E$50,D139)+9,INDEX($C$46:$E$46,D139)*0.7*(1+'02_Plan'!$B$32),0)</f>
        <v>0</v>
      </c>
      <c r="Z139" s="19">
        <f>IF(A139=INDEX($C$50:$E$50,D139)+14,INDEX($C$47:$E$47,D139)*(1+'02_Plan'!$B$32),0)</f>
        <v>0</v>
      </c>
      <c r="AA139" s="19">
        <f t="shared" si="59"/>
        <v>0</v>
      </c>
      <c r="AB139" s="19">
        <f t="shared" si="60"/>
        <v>0.12227066299999999</v>
      </c>
      <c r="AC139" s="19">
        <f t="shared" si="61"/>
        <v>0.13817761847371568</v>
      </c>
      <c r="AD139" s="19">
        <f t="shared" si="62"/>
        <v>-1.5906955473715692E-2</v>
      </c>
    </row>
    <row r="140" spans="1:30" x14ac:dyDescent="0.35">
      <c r="A140" s="14">
        <v>75</v>
      </c>
      <c r="B140" s="30">
        <f t="shared" si="42"/>
        <v>46188</v>
      </c>
      <c r="C140" s="23">
        <f t="shared" si="43"/>
        <v>11</v>
      </c>
      <c r="D140" s="23">
        <f t="shared" si="44"/>
        <v>3</v>
      </c>
      <c r="E140" s="22">
        <f t="shared" si="45"/>
        <v>190</v>
      </c>
      <c r="F140" s="22">
        <f t="shared" si="46"/>
        <v>225</v>
      </c>
      <c r="G140" s="22">
        <f t="shared" si="47"/>
        <v>125</v>
      </c>
      <c r="H140" s="19">
        <f t="shared" si="48"/>
        <v>6.5351111111111138E-2</v>
      </c>
      <c r="I140" s="19">
        <f>(E140*$B$20+F140*$B$21+G140*$B$22)*(1+'02_Plan'!$B$32)/10000000</f>
        <v>1.0976212500000001E-2</v>
      </c>
      <c r="J140" s="19">
        <f>INDEX($C$43:$E$43,D140)/INDEX($C$49:$E$49,D140)*(1+'02_Plan'!$B$32)</f>
        <v>3.0827500000000001E-2</v>
      </c>
      <c r="K140" s="19">
        <f t="shared" si="49"/>
        <v>5.2798947999999998E-2</v>
      </c>
      <c r="L140" s="19">
        <f t="shared" si="50"/>
        <v>4.4396714999999996E-2</v>
      </c>
      <c r="M140" s="19">
        <f t="shared" si="51"/>
        <v>2.4266129032258062E-2</v>
      </c>
      <c r="N140" s="19">
        <f>IF(OR(A140=29,A140=60,A140=90),$B$34*'02_Plan'!$B$25/12,0)</f>
        <v>0</v>
      </c>
      <c r="O140" s="19">
        <f>IF(A140&gt;=$B$7,INDEX($H$65:$H$155,A140-$B$7+1),0)*'02_Plan'!$B$31*(1+'02_Plan'!$B$32)+IF(A140&lt;=$I$7,$H$7/($I$7+1),0)</f>
        <v>4.8414105806451585E-2</v>
      </c>
      <c r="P140" s="19">
        <f>IF(A140&gt;=60,INDEX($H$65:$H$155,A140-60+1),0)*(1-'02_Plan'!$B$31)*(1+'02_Plan'!$B$32)+IF(A140&lt;=$I$8,$H$8/($I$8+1),0)</f>
        <v>2.7249066962962972E-2</v>
      </c>
      <c r="Q140" s="19">
        <f t="shared" si="52"/>
        <v>0</v>
      </c>
      <c r="R140" s="19">
        <f t="shared" si="53"/>
        <v>1.0032022177419357E-2</v>
      </c>
      <c r="S140" s="19">
        <f>J140+IF(A140=INDEX($C$51:$E$51,D140),INDEX($C$44:$E$44,D140)*(1+'02_Plan'!$B$32),0)</f>
        <v>3.0827500000000001E-2</v>
      </c>
      <c r="T140" s="19">
        <f t="shared" si="54"/>
        <v>0</v>
      </c>
      <c r="U140" s="19">
        <f t="shared" si="55"/>
        <v>0</v>
      </c>
      <c r="V140" s="19">
        <f t="shared" si="56"/>
        <v>0</v>
      </c>
      <c r="W140" s="19">
        <f t="shared" si="57"/>
        <v>2.2102500000000001E-2</v>
      </c>
      <c r="X140" s="19">
        <f t="shared" si="58"/>
        <v>0</v>
      </c>
      <c r="Y140" s="19">
        <f>IF(A140=INDEX($C$50:$E$50,D140)+4,INDEX($C$46:$E$46,D140)*0.3*(1+'02_Plan'!$B$32),0)+IF(A140=INDEX($C$50:$E$50,D140)+9,INDEX($C$46:$E$46,D140)*0.7*(1+'02_Plan'!$B$32),0)</f>
        <v>0</v>
      </c>
      <c r="Z140" s="19">
        <f>IF(A140=INDEX($C$50:$E$50,D140)+14,INDEX($C$47:$E$47,D140)*(1+'02_Plan'!$B$32),0)</f>
        <v>0</v>
      </c>
      <c r="AA140" s="19">
        <f t="shared" si="59"/>
        <v>0</v>
      </c>
      <c r="AB140" s="19">
        <f t="shared" si="60"/>
        <v>0.12146179203225804</v>
      </c>
      <c r="AC140" s="19">
        <f t="shared" si="61"/>
        <v>0.13862519494683392</v>
      </c>
      <c r="AD140" s="19">
        <f t="shared" si="62"/>
        <v>-1.7163402914575882E-2</v>
      </c>
    </row>
    <row r="141" spans="1:30" x14ac:dyDescent="0.35">
      <c r="A141" s="14">
        <v>76</v>
      </c>
      <c r="B141" s="30">
        <f t="shared" si="42"/>
        <v>46189</v>
      </c>
      <c r="C141" s="23">
        <f t="shared" si="43"/>
        <v>11</v>
      </c>
      <c r="D141" s="23">
        <f t="shared" si="44"/>
        <v>3</v>
      </c>
      <c r="E141" s="22">
        <f t="shared" si="45"/>
        <v>190</v>
      </c>
      <c r="F141" s="22">
        <f t="shared" si="46"/>
        <v>225</v>
      </c>
      <c r="G141" s="22">
        <f t="shared" si="47"/>
        <v>125</v>
      </c>
      <c r="H141" s="19">
        <f t="shared" si="48"/>
        <v>6.5351111111111138E-2</v>
      </c>
      <c r="I141" s="19">
        <f>(E141*$B$20+F141*$B$21+G141*$B$22)*(1+'02_Plan'!$B$32)/10000000</f>
        <v>1.0976212500000001E-2</v>
      </c>
      <c r="J141" s="19">
        <f>INDEX($C$43:$E$43,D141)/INDEX($C$49:$E$49,D141)*(1+'02_Plan'!$B$32)</f>
        <v>3.0827500000000001E-2</v>
      </c>
      <c r="K141" s="19">
        <f t="shared" si="49"/>
        <v>5.2798947999999998E-2</v>
      </c>
      <c r="L141" s="19">
        <f t="shared" si="50"/>
        <v>4.4396714999999996E-2</v>
      </c>
      <c r="M141" s="19">
        <f t="shared" si="51"/>
        <v>2.4266129032258062E-2</v>
      </c>
      <c r="N141" s="19">
        <f>IF(OR(A141=29,A141=60,A141=90),$B$34*'02_Plan'!$B$25/12,0)</f>
        <v>0</v>
      </c>
      <c r="O141" s="19">
        <f>IF(A141&gt;=$B$7,INDEX($H$65:$H$155,A141-$B$7+1),0)*'02_Plan'!$B$31*(1+'02_Plan'!$B$32)+IF(A141&lt;=$I$7,$H$7/($I$7+1),0)</f>
        <v>4.8414105806451585E-2</v>
      </c>
      <c r="P141" s="19">
        <f>IF(A141&gt;=60,INDEX($H$65:$H$155,A141-60+1),0)*(1-'02_Plan'!$B$31)*(1+'02_Plan'!$B$32)+IF(A141&lt;=$I$8,$H$8/($I$8+1),0)</f>
        <v>2.7249066962962972E-2</v>
      </c>
      <c r="Q141" s="19">
        <f t="shared" si="52"/>
        <v>0</v>
      </c>
      <c r="R141" s="19">
        <f t="shared" si="53"/>
        <v>1.0976212500000001E-2</v>
      </c>
      <c r="S141" s="19">
        <f>J141+IF(A141=INDEX($C$51:$E$51,D141),INDEX($C$44:$E$44,D141)*(1+'02_Plan'!$B$32),0)</f>
        <v>3.0827500000000001E-2</v>
      </c>
      <c r="T141" s="19">
        <f t="shared" si="54"/>
        <v>0</v>
      </c>
      <c r="U141" s="19">
        <f t="shared" si="55"/>
        <v>0</v>
      </c>
      <c r="V141" s="19">
        <f t="shared" si="56"/>
        <v>0</v>
      </c>
      <c r="W141" s="19">
        <f t="shared" si="57"/>
        <v>0</v>
      </c>
      <c r="X141" s="19">
        <f t="shared" si="58"/>
        <v>0</v>
      </c>
      <c r="Y141" s="19">
        <f>IF(A141=INDEX($C$50:$E$50,D141)+4,INDEX($C$46:$E$46,D141)*0.3*(1+'02_Plan'!$B$32),0)+IF(A141=INDEX($C$50:$E$50,D141)+9,INDEX($C$46:$E$46,D141)*0.7*(1+'02_Plan'!$B$32),0)</f>
        <v>0</v>
      </c>
      <c r="Z141" s="19">
        <f>IF(A141=INDEX($C$50:$E$50,D141)+14,INDEX($C$47:$E$47,D141)*(1+'02_Plan'!$B$32),0)</f>
        <v>0</v>
      </c>
      <c r="AA141" s="19">
        <f t="shared" si="59"/>
        <v>0</v>
      </c>
      <c r="AB141" s="19">
        <f t="shared" si="60"/>
        <v>0.12146179203225804</v>
      </c>
      <c r="AC141" s="19">
        <f t="shared" si="61"/>
        <v>0.11746688526941457</v>
      </c>
      <c r="AD141" s="19">
        <f t="shared" si="62"/>
        <v>3.9949067628434753E-3</v>
      </c>
    </row>
    <row r="142" spans="1:30" x14ac:dyDescent="0.35">
      <c r="A142" s="14">
        <v>77</v>
      </c>
      <c r="B142" s="30">
        <f t="shared" si="42"/>
        <v>46190</v>
      </c>
      <c r="C142" s="23">
        <f t="shared" si="43"/>
        <v>12</v>
      </c>
      <c r="D142" s="23">
        <f t="shared" si="44"/>
        <v>3</v>
      </c>
      <c r="E142" s="22">
        <f t="shared" si="45"/>
        <v>190</v>
      </c>
      <c r="F142" s="22">
        <f t="shared" si="46"/>
        <v>225</v>
      </c>
      <c r="G142" s="22">
        <f t="shared" si="47"/>
        <v>125</v>
      </c>
      <c r="H142" s="19">
        <f t="shared" si="48"/>
        <v>6.5351111111111138E-2</v>
      </c>
      <c r="I142" s="19">
        <f>(E142*$B$20+F142*$B$21+G142*$B$22)*(1+'02_Plan'!$B$32)/10000000</f>
        <v>1.0976212500000001E-2</v>
      </c>
      <c r="J142" s="19">
        <f>INDEX($C$43:$E$43,D142)/INDEX($C$49:$E$49,D142)*(1+'02_Plan'!$B$32)</f>
        <v>3.0827500000000001E-2</v>
      </c>
      <c r="K142" s="19">
        <f t="shared" si="49"/>
        <v>5.2798947999999998E-2</v>
      </c>
      <c r="L142" s="19">
        <f t="shared" si="50"/>
        <v>4.4396714999999996E-2</v>
      </c>
      <c r="M142" s="19">
        <f t="shared" si="51"/>
        <v>2.4266129032258062E-2</v>
      </c>
      <c r="N142" s="19">
        <f>IF(OR(A142=29,A142=60,A142=90),$B$34*'02_Plan'!$B$25/12,0)</f>
        <v>0</v>
      </c>
      <c r="O142" s="19">
        <f>IF(A142&gt;=$B$7,INDEX($H$65:$H$155,A142-$B$7+1),0)*'02_Plan'!$B$31*(1+'02_Plan'!$B$32)+IF(A142&lt;=$I$7,$H$7/($I$7+1),0)</f>
        <v>4.8414105806451585E-2</v>
      </c>
      <c r="P142" s="19">
        <f>IF(A142&gt;=60,INDEX($H$65:$H$155,A142-60+1),0)*(1-'02_Plan'!$B$31)*(1+'02_Plan'!$B$32)+IF(A142&lt;=$I$8,$H$8/($I$8+1),0)</f>
        <v>2.7249066962962972E-2</v>
      </c>
      <c r="Q142" s="19">
        <f t="shared" si="52"/>
        <v>0</v>
      </c>
      <c r="R142" s="19">
        <f t="shared" si="53"/>
        <v>1.0976212500000001E-2</v>
      </c>
      <c r="S142" s="19">
        <f>J142+IF(A142=INDEX($C$51:$E$51,D142),INDEX($C$44:$E$44,D142)*(1+'02_Plan'!$B$32),0)</f>
        <v>3.0827500000000001E-2</v>
      </c>
      <c r="T142" s="19">
        <f t="shared" si="54"/>
        <v>0</v>
      </c>
      <c r="U142" s="19">
        <f t="shared" si="55"/>
        <v>0</v>
      </c>
      <c r="V142" s="19">
        <f t="shared" si="56"/>
        <v>0</v>
      </c>
      <c r="W142" s="19">
        <f t="shared" si="57"/>
        <v>0</v>
      </c>
      <c r="X142" s="19">
        <f t="shared" si="58"/>
        <v>0</v>
      </c>
      <c r="Y142" s="19">
        <f>IF(A142=INDEX($C$50:$E$50,D142)+4,INDEX($C$46:$E$46,D142)*0.3*(1+'02_Plan'!$B$32),0)+IF(A142=INDEX($C$50:$E$50,D142)+9,INDEX($C$46:$E$46,D142)*0.7*(1+'02_Plan'!$B$32),0)</f>
        <v>0</v>
      </c>
      <c r="Z142" s="19">
        <f>IF(A142=INDEX($C$50:$E$50,D142)+14,INDEX($C$47:$E$47,D142)*(1+'02_Plan'!$B$32),0)</f>
        <v>0</v>
      </c>
      <c r="AA142" s="19">
        <f t="shared" si="59"/>
        <v>0</v>
      </c>
      <c r="AB142" s="19">
        <f t="shared" si="60"/>
        <v>0.12146179203225804</v>
      </c>
      <c r="AC142" s="19">
        <f t="shared" si="61"/>
        <v>0.11746688526941457</v>
      </c>
      <c r="AD142" s="19">
        <f t="shared" si="62"/>
        <v>3.9949067628434753E-3</v>
      </c>
    </row>
    <row r="143" spans="1:30" x14ac:dyDescent="0.35">
      <c r="A143" s="14">
        <v>78</v>
      </c>
      <c r="B143" s="30">
        <f t="shared" si="42"/>
        <v>46191</v>
      </c>
      <c r="C143" s="23">
        <f t="shared" si="43"/>
        <v>12</v>
      </c>
      <c r="D143" s="23">
        <f t="shared" si="44"/>
        <v>3</v>
      </c>
      <c r="E143" s="22">
        <f t="shared" si="45"/>
        <v>190</v>
      </c>
      <c r="F143" s="22">
        <f t="shared" si="46"/>
        <v>225</v>
      </c>
      <c r="G143" s="22">
        <f t="shared" si="47"/>
        <v>125</v>
      </c>
      <c r="H143" s="19">
        <f t="shared" si="48"/>
        <v>6.5351111111111138E-2</v>
      </c>
      <c r="I143" s="19">
        <f>(E143*$B$20+F143*$B$21+G143*$B$22)*(1+'02_Plan'!$B$32)/10000000</f>
        <v>1.0976212500000001E-2</v>
      </c>
      <c r="J143" s="19">
        <f>INDEX($C$43:$E$43,D143)/INDEX($C$49:$E$49,D143)*(1+'02_Plan'!$B$32)</f>
        <v>3.0827500000000001E-2</v>
      </c>
      <c r="K143" s="19">
        <f t="shared" si="49"/>
        <v>5.2798947999999998E-2</v>
      </c>
      <c r="L143" s="19">
        <f t="shared" si="50"/>
        <v>4.4396714999999996E-2</v>
      </c>
      <c r="M143" s="19">
        <f t="shared" si="51"/>
        <v>2.4266129032258062E-2</v>
      </c>
      <c r="N143" s="19">
        <f>IF(OR(A143=29,A143=60,A143=90),$B$34*'02_Plan'!$B$25/12,0)</f>
        <v>0</v>
      </c>
      <c r="O143" s="19">
        <f>IF(A143&gt;=$B$7,INDEX($H$65:$H$155,A143-$B$7+1),0)*'02_Plan'!$B$31*(1+'02_Plan'!$B$32)+IF(A143&lt;=$I$7,$H$7/($I$7+1),0)</f>
        <v>4.8414105806451585E-2</v>
      </c>
      <c r="P143" s="19">
        <f>IF(A143&gt;=60,INDEX($H$65:$H$155,A143-60+1),0)*(1-'02_Plan'!$B$31)*(1+'02_Plan'!$B$32)+IF(A143&lt;=$I$8,$H$8/($I$8+1),0)</f>
        <v>2.7249066962962972E-2</v>
      </c>
      <c r="Q143" s="19">
        <f t="shared" si="52"/>
        <v>0</v>
      </c>
      <c r="R143" s="19">
        <f t="shared" si="53"/>
        <v>1.0976212500000001E-2</v>
      </c>
      <c r="S143" s="19">
        <f>J143+IF(A143=INDEX($C$51:$E$51,D143),INDEX($C$44:$E$44,D143)*(1+'02_Plan'!$B$32),0)</f>
        <v>3.0827500000000001E-2</v>
      </c>
      <c r="T143" s="19">
        <f t="shared" si="54"/>
        <v>0</v>
      </c>
      <c r="U143" s="19">
        <f t="shared" si="55"/>
        <v>0</v>
      </c>
      <c r="V143" s="19">
        <f t="shared" si="56"/>
        <v>0</v>
      </c>
      <c r="W143" s="19">
        <f t="shared" si="57"/>
        <v>0</v>
      </c>
      <c r="X143" s="19">
        <f t="shared" si="58"/>
        <v>0</v>
      </c>
      <c r="Y143" s="19">
        <f>IF(A143=INDEX($C$50:$E$50,D143)+4,INDEX($C$46:$E$46,D143)*0.3*(1+'02_Plan'!$B$32),0)+IF(A143=INDEX($C$50:$E$50,D143)+9,INDEX($C$46:$E$46,D143)*0.7*(1+'02_Plan'!$B$32),0)</f>
        <v>0</v>
      </c>
      <c r="Z143" s="19">
        <f>IF(A143=INDEX($C$50:$E$50,D143)+14,INDEX($C$47:$E$47,D143)*(1+'02_Plan'!$B$32),0)</f>
        <v>0</v>
      </c>
      <c r="AA143" s="19">
        <f t="shared" si="59"/>
        <v>0</v>
      </c>
      <c r="AB143" s="19">
        <f t="shared" si="60"/>
        <v>0.12146179203225804</v>
      </c>
      <c r="AC143" s="19">
        <f t="shared" si="61"/>
        <v>0.11746688526941457</v>
      </c>
      <c r="AD143" s="19">
        <f t="shared" si="62"/>
        <v>3.9949067628434753E-3</v>
      </c>
    </row>
    <row r="144" spans="1:30" x14ac:dyDescent="0.35">
      <c r="A144" s="14">
        <v>79</v>
      </c>
      <c r="B144" s="30">
        <f t="shared" si="42"/>
        <v>46192</v>
      </c>
      <c r="C144" s="23">
        <f t="shared" si="43"/>
        <v>12</v>
      </c>
      <c r="D144" s="23">
        <f t="shared" si="44"/>
        <v>3</v>
      </c>
      <c r="E144" s="22">
        <f t="shared" si="45"/>
        <v>190</v>
      </c>
      <c r="F144" s="22">
        <f t="shared" si="46"/>
        <v>225</v>
      </c>
      <c r="G144" s="22">
        <f t="shared" si="47"/>
        <v>125</v>
      </c>
      <c r="H144" s="19">
        <f t="shared" si="48"/>
        <v>6.5351111111111138E-2</v>
      </c>
      <c r="I144" s="19">
        <f>(E144*$B$20+F144*$B$21+G144*$B$22)*(1+'02_Plan'!$B$32)/10000000</f>
        <v>1.0976212500000001E-2</v>
      </c>
      <c r="J144" s="19">
        <f>INDEX($C$43:$E$43,D144)/INDEX($C$49:$E$49,D144)*(1+'02_Plan'!$B$32)</f>
        <v>3.0827500000000001E-2</v>
      </c>
      <c r="K144" s="19">
        <f t="shared" si="49"/>
        <v>5.2798947999999998E-2</v>
      </c>
      <c r="L144" s="19">
        <f t="shared" si="50"/>
        <v>4.4396714999999996E-2</v>
      </c>
      <c r="M144" s="19">
        <f t="shared" si="51"/>
        <v>2.4266129032258062E-2</v>
      </c>
      <c r="N144" s="19">
        <f>IF(OR(A144=29,A144=60,A144=90),$B$34*'02_Plan'!$B$25/12,0)</f>
        <v>0</v>
      </c>
      <c r="O144" s="19">
        <f>IF(A144&gt;=$B$7,INDEX($H$65:$H$155,A144-$B$7+1),0)*'02_Plan'!$B$31*(1+'02_Plan'!$B$32)+IF(A144&lt;=$I$7,$H$7/($I$7+1),0)</f>
        <v>4.8414105806451585E-2</v>
      </c>
      <c r="P144" s="19">
        <f>IF(A144&gt;=60,INDEX($H$65:$H$155,A144-60+1),0)*(1-'02_Plan'!$B$31)*(1+'02_Plan'!$B$32)+IF(A144&lt;=$I$8,$H$8/($I$8+1),0)</f>
        <v>2.7249066962962972E-2</v>
      </c>
      <c r="Q144" s="19">
        <f t="shared" si="52"/>
        <v>0</v>
      </c>
      <c r="R144" s="19">
        <f t="shared" si="53"/>
        <v>1.0976212500000001E-2</v>
      </c>
      <c r="S144" s="19">
        <f>J144+IF(A144=INDEX($C$51:$E$51,D144),INDEX($C$44:$E$44,D144)*(1+'02_Plan'!$B$32),0)</f>
        <v>3.0827500000000001E-2</v>
      </c>
      <c r="T144" s="19">
        <f t="shared" si="54"/>
        <v>0</v>
      </c>
      <c r="U144" s="19">
        <f t="shared" si="55"/>
        <v>0</v>
      </c>
      <c r="V144" s="19">
        <f t="shared" si="56"/>
        <v>0</v>
      </c>
      <c r="W144" s="19">
        <f t="shared" si="57"/>
        <v>0</v>
      </c>
      <c r="X144" s="19">
        <f t="shared" si="58"/>
        <v>0</v>
      </c>
      <c r="Y144" s="19">
        <f>IF(A144=INDEX($C$50:$E$50,D144)+4,INDEX($C$46:$E$46,D144)*0.3*(1+'02_Plan'!$B$32),0)+IF(A144=INDEX($C$50:$E$50,D144)+9,INDEX($C$46:$E$46,D144)*0.7*(1+'02_Plan'!$B$32),0)</f>
        <v>0</v>
      </c>
      <c r="Z144" s="19">
        <f>IF(A144=INDEX($C$50:$E$50,D144)+14,INDEX($C$47:$E$47,D144)*(1+'02_Plan'!$B$32),0)</f>
        <v>0</v>
      </c>
      <c r="AA144" s="19">
        <f t="shared" si="59"/>
        <v>0</v>
      </c>
      <c r="AB144" s="19">
        <f t="shared" si="60"/>
        <v>0.12146179203225804</v>
      </c>
      <c r="AC144" s="19">
        <f t="shared" si="61"/>
        <v>0.11746688526941457</v>
      </c>
      <c r="AD144" s="19">
        <f t="shared" si="62"/>
        <v>3.9949067628434753E-3</v>
      </c>
    </row>
    <row r="145" spans="1:30" x14ac:dyDescent="0.35">
      <c r="A145" s="14">
        <v>80</v>
      </c>
      <c r="B145" s="30">
        <f t="shared" si="42"/>
        <v>46193</v>
      </c>
      <c r="C145" s="23">
        <f t="shared" si="43"/>
        <v>12</v>
      </c>
      <c r="D145" s="23">
        <f t="shared" si="44"/>
        <v>3</v>
      </c>
      <c r="E145" s="22">
        <f t="shared" si="45"/>
        <v>190</v>
      </c>
      <c r="F145" s="22">
        <f t="shared" si="46"/>
        <v>225</v>
      </c>
      <c r="G145" s="22">
        <f t="shared" si="47"/>
        <v>125</v>
      </c>
      <c r="H145" s="19">
        <f t="shared" si="48"/>
        <v>6.5351111111111138E-2</v>
      </c>
      <c r="I145" s="19">
        <f>(E145*$B$20+F145*$B$21+G145*$B$22)*(1+'02_Plan'!$B$32)/10000000</f>
        <v>1.0976212500000001E-2</v>
      </c>
      <c r="J145" s="19">
        <f>INDEX($C$43:$E$43,D145)/INDEX($C$49:$E$49,D145)*(1+'02_Plan'!$B$32)</f>
        <v>3.0827500000000001E-2</v>
      </c>
      <c r="K145" s="19">
        <f t="shared" si="49"/>
        <v>5.2798947999999998E-2</v>
      </c>
      <c r="L145" s="19">
        <f t="shared" si="50"/>
        <v>4.4396714999999996E-2</v>
      </c>
      <c r="M145" s="19">
        <f t="shared" si="51"/>
        <v>2.4266129032258062E-2</v>
      </c>
      <c r="N145" s="19">
        <f>IF(OR(A145=29,A145=60,A145=90),$B$34*'02_Plan'!$B$25/12,0)</f>
        <v>0</v>
      </c>
      <c r="O145" s="19">
        <f>IF(A145&gt;=$B$7,INDEX($H$65:$H$155,A145-$B$7+1),0)*'02_Plan'!$B$31*(1+'02_Plan'!$B$32)+IF(A145&lt;=$I$7,$H$7/($I$7+1),0)</f>
        <v>4.8414105806451585E-2</v>
      </c>
      <c r="P145" s="19">
        <f>IF(A145&gt;=60,INDEX($H$65:$H$155,A145-60+1),0)*(1-'02_Plan'!$B$31)*(1+'02_Plan'!$B$32)+IF(A145&lt;=$I$8,$H$8/($I$8+1),0)</f>
        <v>2.7249066962962972E-2</v>
      </c>
      <c r="Q145" s="19">
        <f t="shared" si="52"/>
        <v>0</v>
      </c>
      <c r="R145" s="19">
        <f t="shared" si="53"/>
        <v>1.0976212500000001E-2</v>
      </c>
      <c r="S145" s="19">
        <f>J145+IF(A145=INDEX($C$51:$E$51,D145),INDEX($C$44:$E$44,D145)*(1+'02_Plan'!$B$32),0)</f>
        <v>3.0827500000000001E-2</v>
      </c>
      <c r="T145" s="19">
        <f t="shared" si="54"/>
        <v>0</v>
      </c>
      <c r="U145" s="19">
        <f t="shared" si="55"/>
        <v>0</v>
      </c>
      <c r="V145" s="19">
        <f t="shared" si="56"/>
        <v>0</v>
      </c>
      <c r="W145" s="19">
        <f t="shared" si="57"/>
        <v>0</v>
      </c>
      <c r="X145" s="19">
        <f t="shared" si="58"/>
        <v>1.0525000000000001E-3</v>
      </c>
      <c r="Y145" s="19">
        <f>IF(A145=INDEX($C$50:$E$50,D145)+4,INDEX($C$46:$E$46,D145)*0.3*(1+'02_Plan'!$B$32),0)+IF(A145=INDEX($C$50:$E$50,D145)+9,INDEX($C$46:$E$46,D145)*0.7*(1+'02_Plan'!$B$32),0)</f>
        <v>0</v>
      </c>
      <c r="Z145" s="19">
        <f>IF(A145=INDEX($C$50:$E$50,D145)+14,INDEX($C$47:$E$47,D145)*(1+'02_Plan'!$B$32),0)</f>
        <v>0</v>
      </c>
      <c r="AA145" s="19">
        <f t="shared" si="59"/>
        <v>0</v>
      </c>
      <c r="AB145" s="19">
        <f t="shared" si="60"/>
        <v>0.12146179203225804</v>
      </c>
      <c r="AC145" s="19">
        <f t="shared" si="61"/>
        <v>0.11851938526941456</v>
      </c>
      <c r="AD145" s="19">
        <f t="shared" si="62"/>
        <v>2.9424067628434775E-3</v>
      </c>
    </row>
    <row r="146" spans="1:30" x14ac:dyDescent="0.35">
      <c r="A146" s="14">
        <v>81</v>
      </c>
      <c r="B146" s="30">
        <f t="shared" si="42"/>
        <v>46194</v>
      </c>
      <c r="C146" s="23">
        <f t="shared" si="43"/>
        <v>12</v>
      </c>
      <c r="D146" s="23">
        <f t="shared" si="44"/>
        <v>3</v>
      </c>
      <c r="E146" s="22">
        <f t="shared" si="45"/>
        <v>190</v>
      </c>
      <c r="F146" s="22">
        <f t="shared" si="46"/>
        <v>225</v>
      </c>
      <c r="G146" s="22">
        <f t="shared" si="47"/>
        <v>125</v>
      </c>
      <c r="H146" s="19">
        <f t="shared" si="48"/>
        <v>6.5351111111111138E-2</v>
      </c>
      <c r="I146" s="19">
        <f>(E146*$B$20+F146*$B$21+G146*$B$22)*(1+'02_Plan'!$B$32)/10000000</f>
        <v>1.0976212500000001E-2</v>
      </c>
      <c r="J146" s="19">
        <f>INDEX($C$43:$E$43,D146)/INDEX($C$49:$E$49,D146)*(1+'02_Plan'!$B$32)</f>
        <v>3.0827500000000001E-2</v>
      </c>
      <c r="K146" s="19">
        <f t="shared" si="49"/>
        <v>5.2798947999999998E-2</v>
      </c>
      <c r="L146" s="19">
        <f t="shared" si="50"/>
        <v>4.4396714999999996E-2</v>
      </c>
      <c r="M146" s="19">
        <f t="shared" si="51"/>
        <v>2.4266129032258062E-2</v>
      </c>
      <c r="N146" s="19">
        <f>IF(OR(A146=29,A146=60,A146=90),$B$34*'02_Plan'!$B$25/12,0)</f>
        <v>0</v>
      </c>
      <c r="O146" s="19">
        <f>IF(A146&gt;=$B$7,INDEX($H$65:$H$155,A146-$B$7+1),0)*'02_Plan'!$B$31*(1+'02_Plan'!$B$32)+IF(A146&lt;=$I$7,$H$7/($I$7+1),0)</f>
        <v>4.8414105806451585E-2</v>
      </c>
      <c r="P146" s="19">
        <f>IF(A146&gt;=60,INDEX($H$65:$H$155,A146-60+1),0)*(1-'02_Plan'!$B$31)*(1+'02_Plan'!$B$32)+IF(A146&lt;=$I$8,$H$8/($I$8+1),0)</f>
        <v>2.7249066962962972E-2</v>
      </c>
      <c r="Q146" s="19">
        <f t="shared" si="52"/>
        <v>0</v>
      </c>
      <c r="R146" s="19">
        <f t="shared" si="53"/>
        <v>1.0976212500000001E-2</v>
      </c>
      <c r="S146" s="19">
        <f>J146+IF(A146=INDEX($C$51:$E$51,D146),INDEX($C$44:$E$44,D146)*(1+'02_Plan'!$B$32),0)</f>
        <v>3.0827500000000001E-2</v>
      </c>
      <c r="T146" s="19">
        <f t="shared" si="54"/>
        <v>0</v>
      </c>
      <c r="U146" s="19">
        <f t="shared" si="55"/>
        <v>0</v>
      </c>
      <c r="V146" s="19">
        <f t="shared" si="56"/>
        <v>0</v>
      </c>
      <c r="W146" s="19">
        <f t="shared" si="57"/>
        <v>0</v>
      </c>
      <c r="X146" s="19">
        <f t="shared" si="58"/>
        <v>0</v>
      </c>
      <c r="Y146" s="19">
        <f>IF(A146=INDEX($C$50:$E$50,D146)+4,INDEX($C$46:$E$46,D146)*0.3*(1+'02_Plan'!$B$32),0)+IF(A146=INDEX($C$50:$E$50,D146)+9,INDEX($C$46:$E$46,D146)*0.7*(1+'02_Plan'!$B$32),0)</f>
        <v>0</v>
      </c>
      <c r="Z146" s="19">
        <f>IF(A146=INDEX($C$50:$E$50,D146)+14,INDEX($C$47:$E$47,D146)*(1+'02_Plan'!$B$32),0)</f>
        <v>0</v>
      </c>
      <c r="AA146" s="19">
        <f t="shared" si="59"/>
        <v>0</v>
      </c>
      <c r="AB146" s="19">
        <f t="shared" si="60"/>
        <v>0.12146179203225804</v>
      </c>
      <c r="AC146" s="19">
        <f t="shared" si="61"/>
        <v>0.11746688526941457</v>
      </c>
      <c r="AD146" s="19">
        <f t="shared" si="62"/>
        <v>3.9949067628434753E-3</v>
      </c>
    </row>
    <row r="147" spans="1:30" x14ac:dyDescent="0.35">
      <c r="A147" s="14">
        <v>82</v>
      </c>
      <c r="B147" s="30">
        <f t="shared" si="42"/>
        <v>46195</v>
      </c>
      <c r="C147" s="23">
        <f t="shared" si="43"/>
        <v>12</v>
      </c>
      <c r="D147" s="23">
        <f t="shared" si="44"/>
        <v>3</v>
      </c>
      <c r="E147" s="22">
        <f t="shared" si="45"/>
        <v>190</v>
      </c>
      <c r="F147" s="22">
        <f t="shared" si="46"/>
        <v>225</v>
      </c>
      <c r="G147" s="22">
        <f t="shared" si="47"/>
        <v>125</v>
      </c>
      <c r="H147" s="19">
        <f t="shared" si="48"/>
        <v>6.5351111111111138E-2</v>
      </c>
      <c r="I147" s="19">
        <f>(E147*$B$20+F147*$B$21+G147*$B$22)*(1+'02_Plan'!$B$32)/10000000</f>
        <v>1.0976212500000001E-2</v>
      </c>
      <c r="J147" s="19">
        <f>INDEX($C$43:$E$43,D147)/INDEX($C$49:$E$49,D147)*(1+'02_Plan'!$B$32)</f>
        <v>3.0827500000000001E-2</v>
      </c>
      <c r="K147" s="19">
        <f t="shared" si="49"/>
        <v>5.2798947999999998E-2</v>
      </c>
      <c r="L147" s="19">
        <f t="shared" si="50"/>
        <v>4.4396714999999996E-2</v>
      </c>
      <c r="M147" s="19">
        <f t="shared" si="51"/>
        <v>2.4266129032258062E-2</v>
      </c>
      <c r="N147" s="19">
        <f>IF(OR(A147=29,A147=60,A147=90),$B$34*'02_Plan'!$B$25/12,0)</f>
        <v>0</v>
      </c>
      <c r="O147" s="19">
        <f>IF(A147&gt;=$B$7,INDEX($H$65:$H$155,A147-$B$7+1),0)*'02_Plan'!$B$31*(1+'02_Plan'!$B$32)+IF(A147&lt;=$I$7,$H$7/($I$7+1),0)</f>
        <v>4.8414105806451585E-2</v>
      </c>
      <c r="P147" s="19">
        <f>IF(A147&gt;=60,INDEX($H$65:$H$155,A147-60+1),0)*(1-'02_Plan'!$B$31)*(1+'02_Plan'!$B$32)+IF(A147&lt;=$I$8,$H$8/($I$8+1),0)</f>
        <v>2.7249066962962972E-2</v>
      </c>
      <c r="Q147" s="19">
        <f t="shared" si="52"/>
        <v>0</v>
      </c>
      <c r="R147" s="19">
        <f t="shared" si="53"/>
        <v>1.0976212500000001E-2</v>
      </c>
      <c r="S147" s="19">
        <f>J147+IF(A147=INDEX($C$51:$E$51,D147),INDEX($C$44:$E$44,D147)*(1+'02_Plan'!$B$32),0)</f>
        <v>3.0827500000000001E-2</v>
      </c>
      <c r="T147" s="19">
        <f t="shared" si="54"/>
        <v>0</v>
      </c>
      <c r="U147" s="19">
        <f t="shared" si="55"/>
        <v>0</v>
      </c>
      <c r="V147" s="19">
        <f t="shared" si="56"/>
        <v>0</v>
      </c>
      <c r="W147" s="19">
        <f t="shared" si="57"/>
        <v>0</v>
      </c>
      <c r="X147" s="19">
        <f t="shared" si="58"/>
        <v>0</v>
      </c>
      <c r="Y147" s="19">
        <f>IF(A147=INDEX($C$50:$E$50,D147)+4,INDEX($C$46:$E$46,D147)*0.3*(1+'02_Plan'!$B$32),0)+IF(A147=INDEX($C$50:$E$50,D147)+9,INDEX($C$46:$E$46,D147)*0.7*(1+'02_Plan'!$B$32),0)</f>
        <v>0</v>
      </c>
      <c r="Z147" s="19">
        <f>IF(A147=INDEX($C$50:$E$50,D147)+14,INDEX($C$47:$E$47,D147)*(1+'02_Plan'!$B$32),0)</f>
        <v>0</v>
      </c>
      <c r="AA147" s="19">
        <f t="shared" si="59"/>
        <v>0</v>
      </c>
      <c r="AB147" s="19">
        <f t="shared" si="60"/>
        <v>0.12146179203225804</v>
      </c>
      <c r="AC147" s="19">
        <f t="shared" si="61"/>
        <v>0.11746688526941457</v>
      </c>
      <c r="AD147" s="19">
        <f t="shared" si="62"/>
        <v>3.9949067628434753E-3</v>
      </c>
    </row>
    <row r="148" spans="1:30" x14ac:dyDescent="0.35">
      <c r="A148" s="14">
        <v>83</v>
      </c>
      <c r="B148" s="30">
        <f t="shared" si="42"/>
        <v>46196</v>
      </c>
      <c r="C148" s="23">
        <f t="shared" si="43"/>
        <v>12</v>
      </c>
      <c r="D148" s="23">
        <f t="shared" si="44"/>
        <v>3</v>
      </c>
      <c r="E148" s="22">
        <f t="shared" si="45"/>
        <v>190</v>
      </c>
      <c r="F148" s="22">
        <f t="shared" si="46"/>
        <v>225</v>
      </c>
      <c r="G148" s="22">
        <f t="shared" si="47"/>
        <v>125</v>
      </c>
      <c r="H148" s="19">
        <f t="shared" si="48"/>
        <v>6.5351111111111138E-2</v>
      </c>
      <c r="I148" s="19">
        <f>(E148*$B$20+F148*$B$21+G148*$B$22)*(1+'02_Plan'!$B$32)/10000000</f>
        <v>1.0976212500000001E-2</v>
      </c>
      <c r="J148" s="19">
        <f>INDEX($C$43:$E$43,D148)/INDEX($C$49:$E$49,D148)*(1+'02_Plan'!$B$32)</f>
        <v>3.0827500000000001E-2</v>
      </c>
      <c r="K148" s="19">
        <f t="shared" si="49"/>
        <v>5.2798947999999998E-2</v>
      </c>
      <c r="L148" s="19">
        <f t="shared" si="50"/>
        <v>4.4396714999999996E-2</v>
      </c>
      <c r="M148" s="19">
        <f t="shared" si="51"/>
        <v>2.4266129032258062E-2</v>
      </c>
      <c r="N148" s="19">
        <f>IF(OR(A148=29,A148=60,A148=90),$B$34*'02_Plan'!$B$25/12,0)</f>
        <v>0</v>
      </c>
      <c r="O148" s="19">
        <f>IF(A148&gt;=$B$7,INDEX($H$65:$H$155,A148-$B$7+1),0)*'02_Plan'!$B$31*(1+'02_Plan'!$B$32)+IF(A148&lt;=$I$7,$H$7/($I$7+1),0)</f>
        <v>4.8414105806451585E-2</v>
      </c>
      <c r="P148" s="19">
        <f>IF(A148&gt;=60,INDEX($H$65:$H$155,A148-60+1),0)*(1-'02_Plan'!$B$31)*(1+'02_Plan'!$B$32)+IF(A148&lt;=$I$8,$H$8/($I$8+1),0)</f>
        <v>2.7249066962962972E-2</v>
      </c>
      <c r="Q148" s="19">
        <f t="shared" si="52"/>
        <v>0</v>
      </c>
      <c r="R148" s="19">
        <f t="shared" si="53"/>
        <v>1.0976212500000001E-2</v>
      </c>
      <c r="S148" s="19">
        <f>J148+IF(A148=INDEX($C$51:$E$51,D148),INDEX($C$44:$E$44,D148)*(1+'02_Plan'!$B$32),0)</f>
        <v>3.0827500000000001E-2</v>
      </c>
      <c r="T148" s="19">
        <f t="shared" si="54"/>
        <v>0</v>
      </c>
      <c r="U148" s="19">
        <f t="shared" si="55"/>
        <v>0</v>
      </c>
      <c r="V148" s="19">
        <f t="shared" si="56"/>
        <v>0</v>
      </c>
      <c r="W148" s="19">
        <f t="shared" si="57"/>
        <v>0</v>
      </c>
      <c r="X148" s="19">
        <f t="shared" si="58"/>
        <v>0</v>
      </c>
      <c r="Y148" s="19">
        <f>IF(A148=INDEX($C$50:$E$50,D148)+4,INDEX($C$46:$E$46,D148)*0.3*(1+'02_Plan'!$B$32),0)+IF(A148=INDEX($C$50:$E$50,D148)+9,INDEX($C$46:$E$46,D148)*0.7*(1+'02_Plan'!$B$32),0)</f>
        <v>0</v>
      </c>
      <c r="Z148" s="19">
        <f>IF(A148=INDEX($C$50:$E$50,D148)+14,INDEX($C$47:$E$47,D148)*(1+'02_Plan'!$B$32),0)</f>
        <v>0</v>
      </c>
      <c r="AA148" s="19">
        <f t="shared" si="59"/>
        <v>0</v>
      </c>
      <c r="AB148" s="19">
        <f t="shared" si="60"/>
        <v>0.12146179203225804</v>
      </c>
      <c r="AC148" s="19">
        <f t="shared" si="61"/>
        <v>0.11746688526941457</v>
      </c>
      <c r="AD148" s="19">
        <f t="shared" si="62"/>
        <v>3.9949067628434753E-3</v>
      </c>
    </row>
    <row r="149" spans="1:30" x14ac:dyDescent="0.35">
      <c r="A149" s="14">
        <v>84</v>
      </c>
      <c r="B149" s="30">
        <f t="shared" si="42"/>
        <v>46197</v>
      </c>
      <c r="C149" s="23">
        <f t="shared" si="43"/>
        <v>13</v>
      </c>
      <c r="D149" s="23">
        <f t="shared" si="44"/>
        <v>3</v>
      </c>
      <c r="E149" s="22">
        <f t="shared" si="45"/>
        <v>190</v>
      </c>
      <c r="F149" s="22">
        <f t="shared" si="46"/>
        <v>225</v>
      </c>
      <c r="G149" s="22">
        <f t="shared" si="47"/>
        <v>125</v>
      </c>
      <c r="H149" s="19">
        <f t="shared" si="48"/>
        <v>6.5351111111111138E-2</v>
      </c>
      <c r="I149" s="19">
        <f>(E149*$B$20+F149*$B$21+G149*$B$22)*(1+'02_Plan'!$B$32)/10000000</f>
        <v>1.0976212500000001E-2</v>
      </c>
      <c r="J149" s="19">
        <f>INDEX($C$43:$E$43,D149)/INDEX($C$49:$E$49,D149)*(1+'02_Plan'!$B$32)</f>
        <v>3.0827500000000001E-2</v>
      </c>
      <c r="K149" s="19">
        <f t="shared" si="49"/>
        <v>5.2798947999999998E-2</v>
      </c>
      <c r="L149" s="19">
        <f t="shared" si="50"/>
        <v>4.4396714999999996E-2</v>
      </c>
      <c r="M149" s="19">
        <f t="shared" si="51"/>
        <v>2.4266129032258062E-2</v>
      </c>
      <c r="N149" s="19">
        <f>IF(OR(A149=29,A149=60,A149=90),$B$34*'02_Plan'!$B$25/12,0)</f>
        <v>0</v>
      </c>
      <c r="O149" s="19">
        <f>IF(A149&gt;=$B$7,INDEX($H$65:$H$155,A149-$B$7+1),0)*'02_Plan'!$B$31*(1+'02_Plan'!$B$32)+IF(A149&lt;=$I$7,$H$7/($I$7+1),0)</f>
        <v>4.8414105806451585E-2</v>
      </c>
      <c r="P149" s="19">
        <f>IF(A149&gt;=60,INDEX($H$65:$H$155,A149-60+1),0)*(1-'02_Plan'!$B$31)*(1+'02_Plan'!$B$32)+IF(A149&lt;=$I$8,$H$8/($I$8+1),0)</f>
        <v>2.7249066962962972E-2</v>
      </c>
      <c r="Q149" s="19">
        <f t="shared" si="52"/>
        <v>0</v>
      </c>
      <c r="R149" s="19">
        <f t="shared" si="53"/>
        <v>1.0976212500000001E-2</v>
      </c>
      <c r="S149" s="19">
        <f>J149+IF(A149=INDEX($C$51:$E$51,D149),INDEX($C$44:$E$44,D149)*(1+'02_Plan'!$B$32),0)</f>
        <v>3.0827500000000001E-2</v>
      </c>
      <c r="T149" s="19">
        <f t="shared" si="54"/>
        <v>0</v>
      </c>
      <c r="U149" s="19">
        <f t="shared" si="55"/>
        <v>0</v>
      </c>
      <c r="V149" s="19">
        <f t="shared" si="56"/>
        <v>0</v>
      </c>
      <c r="W149" s="19">
        <f t="shared" si="57"/>
        <v>0</v>
      </c>
      <c r="X149" s="19">
        <f t="shared" si="58"/>
        <v>0</v>
      </c>
      <c r="Y149" s="19">
        <f>IF(A149=INDEX($C$50:$E$50,D149)+4,INDEX($C$46:$E$46,D149)*0.3*(1+'02_Plan'!$B$32),0)+IF(A149=INDEX($C$50:$E$50,D149)+9,INDEX($C$46:$E$46,D149)*0.7*(1+'02_Plan'!$B$32),0)</f>
        <v>0</v>
      </c>
      <c r="Z149" s="19">
        <f>IF(A149=INDEX($C$50:$E$50,D149)+14,INDEX($C$47:$E$47,D149)*(1+'02_Plan'!$B$32),0)</f>
        <v>0</v>
      </c>
      <c r="AA149" s="19">
        <f t="shared" si="59"/>
        <v>0</v>
      </c>
      <c r="AB149" s="19">
        <f t="shared" si="60"/>
        <v>0.12146179203225804</v>
      </c>
      <c r="AC149" s="19">
        <f t="shared" si="61"/>
        <v>0.11746688526941457</v>
      </c>
      <c r="AD149" s="19">
        <f t="shared" si="62"/>
        <v>3.9949067628434753E-3</v>
      </c>
    </row>
    <row r="150" spans="1:30" x14ac:dyDescent="0.35">
      <c r="A150" s="14">
        <v>85</v>
      </c>
      <c r="B150" s="30">
        <f t="shared" si="42"/>
        <v>46198</v>
      </c>
      <c r="C150" s="23">
        <f t="shared" si="43"/>
        <v>13</v>
      </c>
      <c r="D150" s="23">
        <f t="shared" si="44"/>
        <v>3</v>
      </c>
      <c r="E150" s="22">
        <f t="shared" si="45"/>
        <v>190</v>
      </c>
      <c r="F150" s="22">
        <f t="shared" si="46"/>
        <v>225</v>
      </c>
      <c r="G150" s="22">
        <f t="shared" si="47"/>
        <v>125</v>
      </c>
      <c r="H150" s="19">
        <f t="shared" si="48"/>
        <v>6.5351111111111138E-2</v>
      </c>
      <c r="I150" s="19">
        <f>(E150*$B$20+F150*$B$21+G150*$B$22)*(1+'02_Plan'!$B$32)/10000000</f>
        <v>1.0976212500000001E-2</v>
      </c>
      <c r="J150" s="19">
        <f>INDEX($C$43:$E$43,D150)/INDEX($C$49:$E$49,D150)*(1+'02_Plan'!$B$32)</f>
        <v>3.0827500000000001E-2</v>
      </c>
      <c r="K150" s="19">
        <f t="shared" si="49"/>
        <v>5.2798947999999998E-2</v>
      </c>
      <c r="L150" s="19">
        <f t="shared" si="50"/>
        <v>4.4396714999999996E-2</v>
      </c>
      <c r="M150" s="19">
        <f t="shared" si="51"/>
        <v>2.4266129032258062E-2</v>
      </c>
      <c r="N150" s="19">
        <f>IF(OR(A150=29,A150=60,A150=90),$B$34*'02_Plan'!$B$25/12,0)</f>
        <v>0</v>
      </c>
      <c r="O150" s="19">
        <f>IF(A150&gt;=$B$7,INDEX($H$65:$H$155,A150-$B$7+1),0)*'02_Plan'!$B$31*(1+'02_Plan'!$B$32)+IF(A150&lt;=$I$7,$H$7/($I$7+1),0)</f>
        <v>4.8414105806451585E-2</v>
      </c>
      <c r="P150" s="19">
        <f>IF(A150&gt;=60,INDEX($H$65:$H$155,A150-60+1),0)*(1-'02_Plan'!$B$31)*(1+'02_Plan'!$B$32)+IF(A150&lt;=$I$8,$H$8/($I$8+1),0)</f>
        <v>2.7249066962962972E-2</v>
      </c>
      <c r="Q150" s="19">
        <f t="shared" si="52"/>
        <v>0</v>
      </c>
      <c r="R150" s="19">
        <f t="shared" si="53"/>
        <v>1.0976212500000001E-2</v>
      </c>
      <c r="S150" s="19">
        <f>J150+IF(A150=INDEX($C$51:$E$51,D150),INDEX($C$44:$E$44,D150)*(1+'02_Plan'!$B$32),0)</f>
        <v>3.0827500000000001E-2</v>
      </c>
      <c r="T150" s="19">
        <f t="shared" si="54"/>
        <v>0</v>
      </c>
      <c r="U150" s="19">
        <f t="shared" si="55"/>
        <v>0</v>
      </c>
      <c r="V150" s="19">
        <f t="shared" si="56"/>
        <v>0</v>
      </c>
      <c r="W150" s="19">
        <f t="shared" si="57"/>
        <v>0</v>
      </c>
      <c r="X150" s="19">
        <f t="shared" si="58"/>
        <v>0</v>
      </c>
      <c r="Y150" s="19">
        <f>IF(A150=INDEX($C$50:$E$50,D150)+4,INDEX($C$46:$E$46,D150)*0.3*(1+'02_Plan'!$B$32),0)+IF(A150=INDEX($C$50:$E$50,D150)+9,INDEX($C$46:$E$46,D150)*0.7*(1+'02_Plan'!$B$32),0)</f>
        <v>0</v>
      </c>
      <c r="Z150" s="19">
        <f>IF(A150=INDEX($C$50:$E$50,D150)+14,INDEX($C$47:$E$47,D150)*(1+'02_Plan'!$B$32),0)</f>
        <v>0</v>
      </c>
      <c r="AA150" s="19">
        <f t="shared" si="59"/>
        <v>0</v>
      </c>
      <c r="AB150" s="19">
        <f t="shared" si="60"/>
        <v>0.12146179203225804</v>
      </c>
      <c r="AC150" s="19">
        <f t="shared" si="61"/>
        <v>0.11746688526941457</v>
      </c>
      <c r="AD150" s="19">
        <f t="shared" si="62"/>
        <v>3.9949067628434753E-3</v>
      </c>
    </row>
    <row r="151" spans="1:30" x14ac:dyDescent="0.35">
      <c r="A151" s="14">
        <v>86</v>
      </c>
      <c r="B151" s="30">
        <f t="shared" si="42"/>
        <v>46199</v>
      </c>
      <c r="C151" s="23">
        <f t="shared" si="43"/>
        <v>13</v>
      </c>
      <c r="D151" s="23">
        <f t="shared" si="44"/>
        <v>3</v>
      </c>
      <c r="E151" s="22">
        <f t="shared" si="45"/>
        <v>190</v>
      </c>
      <c r="F151" s="22">
        <f t="shared" si="46"/>
        <v>225</v>
      </c>
      <c r="G151" s="22">
        <f t="shared" si="47"/>
        <v>125</v>
      </c>
      <c r="H151" s="19">
        <f t="shared" si="48"/>
        <v>6.5351111111111138E-2</v>
      </c>
      <c r="I151" s="19">
        <f>(E151*$B$20+F151*$B$21+G151*$B$22)*(1+'02_Plan'!$B$32)/10000000</f>
        <v>1.0976212500000001E-2</v>
      </c>
      <c r="J151" s="19">
        <f>INDEX($C$43:$E$43,D151)/INDEX($C$49:$E$49,D151)*(1+'02_Plan'!$B$32)</f>
        <v>3.0827500000000001E-2</v>
      </c>
      <c r="K151" s="19">
        <f t="shared" si="49"/>
        <v>5.2798947999999998E-2</v>
      </c>
      <c r="L151" s="19">
        <f t="shared" si="50"/>
        <v>4.4396714999999996E-2</v>
      </c>
      <c r="M151" s="19">
        <f t="shared" si="51"/>
        <v>2.4266129032258062E-2</v>
      </c>
      <c r="N151" s="19">
        <f>IF(OR(A151=29,A151=60,A151=90),$B$34*'02_Plan'!$B$25/12,0)</f>
        <v>0</v>
      </c>
      <c r="O151" s="19">
        <f>IF(A151&gt;=$B$7,INDEX($H$65:$H$155,A151-$B$7+1),0)*'02_Plan'!$B$31*(1+'02_Plan'!$B$32)+IF(A151&lt;=$I$7,$H$7/($I$7+1),0)</f>
        <v>4.8414105806451585E-2</v>
      </c>
      <c r="P151" s="19">
        <f>IF(A151&gt;=60,INDEX($H$65:$H$155,A151-60+1),0)*(1-'02_Plan'!$B$31)*(1+'02_Plan'!$B$32)+IF(A151&lt;=$I$8,$H$8/($I$8+1),0)</f>
        <v>2.7249066962962972E-2</v>
      </c>
      <c r="Q151" s="19">
        <f t="shared" si="52"/>
        <v>0</v>
      </c>
      <c r="R151" s="19">
        <f t="shared" si="53"/>
        <v>1.0976212500000001E-2</v>
      </c>
      <c r="S151" s="19">
        <f>J151+IF(A151=INDEX($C$51:$E$51,D151),INDEX($C$44:$E$44,D151)*(1+'02_Plan'!$B$32),0)</f>
        <v>3.0827500000000001E-2</v>
      </c>
      <c r="T151" s="19">
        <f t="shared" si="54"/>
        <v>0</v>
      </c>
      <c r="U151" s="19">
        <f t="shared" si="55"/>
        <v>0</v>
      </c>
      <c r="V151" s="19">
        <f t="shared" si="56"/>
        <v>0</v>
      </c>
      <c r="W151" s="19">
        <f t="shared" si="57"/>
        <v>0</v>
      </c>
      <c r="X151" s="19">
        <f t="shared" si="58"/>
        <v>0</v>
      </c>
      <c r="Y151" s="19">
        <f>IF(A151=INDEX($C$50:$E$50,D151)+4,INDEX($C$46:$E$46,D151)*0.3*(1+'02_Plan'!$B$32),0)+IF(A151=INDEX($C$50:$E$50,D151)+9,INDEX($C$46:$E$46,D151)*0.7*(1+'02_Plan'!$B$32),0)</f>
        <v>0</v>
      </c>
      <c r="Z151" s="19">
        <f>IF(A151=INDEX($C$50:$E$50,D151)+14,INDEX($C$47:$E$47,D151)*(1+'02_Plan'!$B$32),0)</f>
        <v>0</v>
      </c>
      <c r="AA151" s="19">
        <f t="shared" si="59"/>
        <v>0</v>
      </c>
      <c r="AB151" s="19">
        <f t="shared" si="60"/>
        <v>0.12146179203225804</v>
      </c>
      <c r="AC151" s="19">
        <f t="shared" si="61"/>
        <v>0.11746688526941457</v>
      </c>
      <c r="AD151" s="19">
        <f t="shared" si="62"/>
        <v>3.9949067628434753E-3</v>
      </c>
    </row>
    <row r="152" spans="1:30" x14ac:dyDescent="0.35">
      <c r="A152" s="14">
        <v>87</v>
      </c>
      <c r="B152" s="30">
        <f t="shared" si="42"/>
        <v>46200</v>
      </c>
      <c r="C152" s="23">
        <f t="shared" si="43"/>
        <v>13</v>
      </c>
      <c r="D152" s="23">
        <f t="shared" si="44"/>
        <v>3</v>
      </c>
      <c r="E152" s="22">
        <f t="shared" si="45"/>
        <v>190</v>
      </c>
      <c r="F152" s="22">
        <f t="shared" si="46"/>
        <v>225</v>
      </c>
      <c r="G152" s="22">
        <f t="shared" si="47"/>
        <v>125</v>
      </c>
      <c r="H152" s="19">
        <f t="shared" si="48"/>
        <v>6.5351111111111138E-2</v>
      </c>
      <c r="I152" s="19">
        <f>(E152*$B$20+F152*$B$21+G152*$B$22)*(1+'02_Plan'!$B$32)/10000000</f>
        <v>1.0976212500000001E-2</v>
      </c>
      <c r="J152" s="19">
        <f>INDEX($C$43:$E$43,D152)/INDEX($C$49:$E$49,D152)*(1+'02_Plan'!$B$32)</f>
        <v>3.0827500000000001E-2</v>
      </c>
      <c r="K152" s="19">
        <f t="shared" si="49"/>
        <v>5.2798947999999998E-2</v>
      </c>
      <c r="L152" s="19">
        <f t="shared" si="50"/>
        <v>4.4396714999999996E-2</v>
      </c>
      <c r="M152" s="19">
        <f t="shared" si="51"/>
        <v>2.4266129032258062E-2</v>
      </c>
      <c r="N152" s="19">
        <f>IF(OR(A152=29,A152=60,A152=90),$B$34*'02_Plan'!$B$25/12,0)</f>
        <v>0</v>
      </c>
      <c r="O152" s="19">
        <f>IF(A152&gt;=$B$7,INDEX($H$65:$H$155,A152-$B$7+1),0)*'02_Plan'!$B$31*(1+'02_Plan'!$B$32)+IF(A152&lt;=$I$7,$H$7/($I$7+1),0)</f>
        <v>4.8414105806451585E-2</v>
      </c>
      <c r="P152" s="19">
        <f>IF(A152&gt;=60,INDEX($H$65:$H$155,A152-60+1),0)*(1-'02_Plan'!$B$31)*(1+'02_Plan'!$B$32)+IF(A152&lt;=$I$8,$H$8/($I$8+1),0)</f>
        <v>2.7249066962962972E-2</v>
      </c>
      <c r="Q152" s="19">
        <f t="shared" si="52"/>
        <v>0</v>
      </c>
      <c r="R152" s="19">
        <f t="shared" si="53"/>
        <v>1.0976212500000001E-2</v>
      </c>
      <c r="S152" s="19">
        <f>J152+IF(A152=INDEX($C$51:$E$51,D152),INDEX($C$44:$E$44,D152)*(1+'02_Plan'!$B$32),0)</f>
        <v>3.0827500000000001E-2</v>
      </c>
      <c r="T152" s="19">
        <f t="shared" si="54"/>
        <v>0</v>
      </c>
      <c r="U152" s="19">
        <f t="shared" si="55"/>
        <v>0</v>
      </c>
      <c r="V152" s="19">
        <f t="shared" si="56"/>
        <v>0</v>
      </c>
      <c r="W152" s="19">
        <f t="shared" si="57"/>
        <v>0</v>
      </c>
      <c r="X152" s="19">
        <f t="shared" si="58"/>
        <v>0</v>
      </c>
      <c r="Y152" s="19">
        <f>IF(A152=INDEX($C$50:$E$50,D152)+4,INDEX($C$46:$E$46,D152)*0.3*(1+'02_Plan'!$B$32),0)+IF(A152=INDEX($C$50:$E$50,D152)+9,INDEX($C$46:$E$46,D152)*0.7*(1+'02_Plan'!$B$32),0)</f>
        <v>0</v>
      </c>
      <c r="Z152" s="19">
        <f>IF(A152=INDEX($C$50:$E$50,D152)+14,INDEX($C$47:$E$47,D152)*(1+'02_Plan'!$B$32),0)</f>
        <v>0</v>
      </c>
      <c r="AA152" s="19">
        <f t="shared" si="59"/>
        <v>0</v>
      </c>
      <c r="AB152" s="19">
        <f t="shared" si="60"/>
        <v>0.12146179203225804</v>
      </c>
      <c r="AC152" s="19">
        <f t="shared" si="61"/>
        <v>0.11746688526941457</v>
      </c>
      <c r="AD152" s="19">
        <f t="shared" si="62"/>
        <v>3.9949067628434753E-3</v>
      </c>
    </row>
    <row r="153" spans="1:30" x14ac:dyDescent="0.35">
      <c r="A153" s="14">
        <v>88</v>
      </c>
      <c r="B153" s="30">
        <f t="shared" si="42"/>
        <v>46201</v>
      </c>
      <c r="C153" s="23">
        <f t="shared" si="43"/>
        <v>13</v>
      </c>
      <c r="D153" s="23">
        <f t="shared" si="44"/>
        <v>3</v>
      </c>
      <c r="E153" s="22">
        <f t="shared" si="45"/>
        <v>190</v>
      </c>
      <c r="F153" s="22">
        <f t="shared" si="46"/>
        <v>225</v>
      </c>
      <c r="G153" s="22">
        <f t="shared" si="47"/>
        <v>125</v>
      </c>
      <c r="H153" s="19">
        <f t="shared" si="48"/>
        <v>6.5351111111111138E-2</v>
      </c>
      <c r="I153" s="19">
        <f>(E153*$B$20+F153*$B$21+G153*$B$22)*(1+'02_Plan'!$B$32)/10000000</f>
        <v>1.0976212500000001E-2</v>
      </c>
      <c r="J153" s="19">
        <f>INDEX($C$43:$E$43,D153)/INDEX($C$49:$E$49,D153)*(1+'02_Plan'!$B$32)</f>
        <v>3.0827500000000001E-2</v>
      </c>
      <c r="K153" s="19">
        <f t="shared" si="49"/>
        <v>5.2798947999999998E-2</v>
      </c>
      <c r="L153" s="19">
        <f t="shared" si="50"/>
        <v>4.4396714999999996E-2</v>
      </c>
      <c r="M153" s="19">
        <f t="shared" si="51"/>
        <v>2.4266129032258062E-2</v>
      </c>
      <c r="N153" s="19">
        <f>IF(OR(A153=29,A153=60,A153=90),$B$34*'02_Plan'!$B$25/12,0)</f>
        <v>0</v>
      </c>
      <c r="O153" s="19">
        <f>IF(A153&gt;=$B$7,INDEX($H$65:$H$155,A153-$B$7+1),0)*'02_Plan'!$B$31*(1+'02_Plan'!$B$32)+IF(A153&lt;=$I$7,$H$7/($I$7+1),0)</f>
        <v>4.8414105806451585E-2</v>
      </c>
      <c r="P153" s="19">
        <f>IF(A153&gt;=60,INDEX($H$65:$H$155,A153-60+1),0)*(1-'02_Plan'!$B$31)*(1+'02_Plan'!$B$32)+IF(A153&lt;=$I$8,$H$8/($I$8+1),0)</f>
        <v>2.7249066962962972E-2</v>
      </c>
      <c r="Q153" s="19">
        <f t="shared" si="52"/>
        <v>0</v>
      </c>
      <c r="R153" s="19">
        <f t="shared" si="53"/>
        <v>1.0976212500000001E-2</v>
      </c>
      <c r="S153" s="19">
        <f>J153+IF(A153=INDEX($C$51:$E$51,D153),INDEX($C$44:$E$44,D153)*(1+'02_Plan'!$B$32),0)</f>
        <v>3.0827500000000001E-2</v>
      </c>
      <c r="T153" s="19">
        <f t="shared" si="54"/>
        <v>0</v>
      </c>
      <c r="U153" s="19">
        <f t="shared" si="55"/>
        <v>0</v>
      </c>
      <c r="V153" s="19">
        <f t="shared" si="56"/>
        <v>0</v>
      </c>
      <c r="W153" s="19">
        <f t="shared" si="57"/>
        <v>0</v>
      </c>
      <c r="X153" s="19">
        <f t="shared" si="58"/>
        <v>0</v>
      </c>
      <c r="Y153" s="19">
        <f>IF(A153=INDEX($C$50:$E$50,D153)+4,INDEX($C$46:$E$46,D153)*0.3*(1+'02_Plan'!$B$32),0)+IF(A153=INDEX($C$50:$E$50,D153)+9,INDEX($C$46:$E$46,D153)*0.7*(1+'02_Plan'!$B$32),0)</f>
        <v>0</v>
      </c>
      <c r="Z153" s="19">
        <f>IF(A153=INDEX($C$50:$E$50,D153)+14,INDEX($C$47:$E$47,D153)*(1+'02_Plan'!$B$32),0)</f>
        <v>0</v>
      </c>
      <c r="AA153" s="19">
        <f t="shared" si="59"/>
        <v>0</v>
      </c>
      <c r="AB153" s="19">
        <f t="shared" si="60"/>
        <v>0.12146179203225804</v>
      </c>
      <c r="AC153" s="19">
        <f t="shared" si="61"/>
        <v>0.11746688526941457</v>
      </c>
      <c r="AD153" s="19">
        <f t="shared" si="62"/>
        <v>3.9949067628434753E-3</v>
      </c>
    </row>
    <row r="154" spans="1:30" x14ac:dyDescent="0.35">
      <c r="A154" s="14">
        <v>89</v>
      </c>
      <c r="B154" s="30">
        <f t="shared" si="42"/>
        <v>46202</v>
      </c>
      <c r="C154" s="23">
        <f t="shared" si="43"/>
        <v>13</v>
      </c>
      <c r="D154" s="23">
        <f t="shared" si="44"/>
        <v>3</v>
      </c>
      <c r="E154" s="22">
        <f t="shared" si="45"/>
        <v>190</v>
      </c>
      <c r="F154" s="22">
        <f t="shared" si="46"/>
        <v>225</v>
      </c>
      <c r="G154" s="22">
        <f t="shared" si="47"/>
        <v>125</v>
      </c>
      <c r="H154" s="19">
        <f t="shared" si="48"/>
        <v>6.5351111111111138E-2</v>
      </c>
      <c r="I154" s="19">
        <f>(E154*$B$20+F154*$B$21+G154*$B$22)*(1+'02_Plan'!$B$32)/10000000</f>
        <v>1.0976212500000001E-2</v>
      </c>
      <c r="J154" s="19">
        <f>INDEX($C$43:$E$43,D154)/INDEX($C$49:$E$49,D154)*(1+'02_Plan'!$B$32)</f>
        <v>3.0827500000000001E-2</v>
      </c>
      <c r="K154" s="19">
        <f t="shared" si="49"/>
        <v>5.2798947999999998E-2</v>
      </c>
      <c r="L154" s="19">
        <f t="shared" si="50"/>
        <v>4.4396714999999996E-2</v>
      </c>
      <c r="M154" s="19">
        <f t="shared" si="51"/>
        <v>2.4266129032258062E-2</v>
      </c>
      <c r="N154" s="19">
        <f>IF(OR(A154=29,A154=60,A154=90),$B$34*'02_Plan'!$B$25/12,0)</f>
        <v>0</v>
      </c>
      <c r="O154" s="19">
        <f>IF(A154&gt;=$B$7,INDEX($H$65:$H$155,A154-$B$7+1),0)*'02_Plan'!$B$31*(1+'02_Plan'!$B$32)+IF(A154&lt;=$I$7,$H$7/($I$7+1),0)</f>
        <v>4.8414105806451585E-2</v>
      </c>
      <c r="P154" s="19">
        <f>IF(A154&gt;=60,INDEX($H$65:$H$155,A154-60+1),0)*(1-'02_Plan'!$B$31)*(1+'02_Plan'!$B$32)+IF(A154&lt;=$I$8,$H$8/($I$8+1),0)</f>
        <v>2.7249066962962972E-2</v>
      </c>
      <c r="Q154" s="19">
        <f t="shared" si="52"/>
        <v>0</v>
      </c>
      <c r="R154" s="19">
        <f t="shared" si="53"/>
        <v>1.0976212500000001E-2</v>
      </c>
      <c r="S154" s="19">
        <f>J154+IF(A154=INDEX($C$51:$E$51,D154),INDEX($C$44:$E$44,D154)*(1+'02_Plan'!$B$32),0)</f>
        <v>3.0827500000000001E-2</v>
      </c>
      <c r="T154" s="19">
        <f t="shared" si="54"/>
        <v>0</v>
      </c>
      <c r="U154" s="19">
        <f t="shared" si="55"/>
        <v>0</v>
      </c>
      <c r="V154" s="19">
        <f t="shared" si="56"/>
        <v>0</v>
      </c>
      <c r="W154" s="19">
        <f t="shared" si="57"/>
        <v>0</v>
      </c>
      <c r="X154" s="19">
        <f t="shared" si="58"/>
        <v>0</v>
      </c>
      <c r="Y154" s="19">
        <f>IF(A154=INDEX($C$50:$E$50,D154)+4,INDEX($C$46:$E$46,D154)*0.3*(1+'02_Plan'!$B$32),0)+IF(A154=INDEX($C$50:$E$50,D154)+9,INDEX($C$46:$E$46,D154)*0.7*(1+'02_Plan'!$B$32),0)</f>
        <v>0</v>
      </c>
      <c r="Z154" s="19">
        <f>IF(A154=INDEX($C$50:$E$50,D154)+14,INDEX($C$47:$E$47,D154)*(1+'02_Plan'!$B$32),0)</f>
        <v>0</v>
      </c>
      <c r="AA154" s="19">
        <f t="shared" si="59"/>
        <v>0</v>
      </c>
      <c r="AB154" s="19">
        <f t="shared" si="60"/>
        <v>0.12146179203225804</v>
      </c>
      <c r="AC154" s="19">
        <f t="shared" si="61"/>
        <v>0.11746688526941457</v>
      </c>
      <c r="AD154" s="19">
        <f t="shared" si="62"/>
        <v>3.9949067628434753E-3</v>
      </c>
    </row>
    <row r="155" spans="1:30" x14ac:dyDescent="0.35">
      <c r="A155" s="14">
        <v>90</v>
      </c>
      <c r="B155" s="30">
        <f t="shared" si="42"/>
        <v>46203</v>
      </c>
      <c r="C155" s="23">
        <f t="shared" si="43"/>
        <v>13</v>
      </c>
      <c r="D155" s="23">
        <f t="shared" si="44"/>
        <v>3</v>
      </c>
      <c r="E155" s="22">
        <f t="shared" si="45"/>
        <v>190</v>
      </c>
      <c r="F155" s="22">
        <f t="shared" si="46"/>
        <v>225</v>
      </c>
      <c r="G155" s="22">
        <f t="shared" si="47"/>
        <v>125</v>
      </c>
      <c r="H155" s="19">
        <f t="shared" si="48"/>
        <v>6.5351111111111138E-2</v>
      </c>
      <c r="I155" s="19">
        <f>(E155*$B$20+F155*$B$21+G155*$B$22)*(1+'02_Plan'!$B$32)/10000000</f>
        <v>1.0976212500000001E-2</v>
      </c>
      <c r="J155" s="19">
        <f>INDEX($C$43:$E$43,D155)/INDEX($C$49:$E$49,D155)*(1+'02_Plan'!$B$32)</f>
        <v>3.0827500000000001E-2</v>
      </c>
      <c r="K155" s="19">
        <f t="shared" si="49"/>
        <v>5.2798947999999998E-2</v>
      </c>
      <c r="L155" s="19">
        <f t="shared" si="50"/>
        <v>4.4396714999999996E-2</v>
      </c>
      <c r="M155" s="19">
        <f t="shared" si="51"/>
        <v>2.4266129032258062E-2</v>
      </c>
      <c r="N155" s="19">
        <f>IF(OR(A155=29,A155=60,A155=90),$B$34*'02_Plan'!$B$25/12,0)</f>
        <v>4.9999999999999996E-2</v>
      </c>
      <c r="O155" s="19">
        <f>IF(A155&gt;=$B$7,INDEX($H$65:$H$155,A155-$B$7+1),0)*'02_Plan'!$B$31*(1+'02_Plan'!$B$32)+IF(A155&lt;=$I$7,$H$7/($I$7+1),0)</f>
        <v>4.8414105806451585E-2</v>
      </c>
      <c r="P155" s="19">
        <f>IF(A155&gt;=60,INDEX($H$65:$H$155,A155-60+1),0)*(1-'02_Plan'!$B$31)*(1+'02_Plan'!$B$32)+IF(A155&lt;=$I$8,$H$8/($I$8+1),0)</f>
        <v>1.8827707813620066E-2</v>
      </c>
      <c r="Q155" s="19">
        <f t="shared" si="52"/>
        <v>0</v>
      </c>
      <c r="R155" s="19">
        <f t="shared" si="53"/>
        <v>1.0976212500000001E-2</v>
      </c>
      <c r="S155" s="19">
        <f>J155+IF(A155=INDEX($C$51:$E$51,D155),INDEX($C$44:$E$44,D155)*(1+'02_Plan'!$B$32),0)</f>
        <v>0.17242749999999998</v>
      </c>
      <c r="T155" s="19">
        <f t="shared" si="54"/>
        <v>0.45100000000000001</v>
      </c>
      <c r="U155" s="19">
        <f t="shared" si="55"/>
        <v>0</v>
      </c>
      <c r="V155" s="19">
        <f t="shared" si="56"/>
        <v>0</v>
      </c>
      <c r="W155" s="19">
        <f t="shared" si="57"/>
        <v>0</v>
      </c>
      <c r="X155" s="19">
        <f t="shared" si="58"/>
        <v>0</v>
      </c>
      <c r="Y155" s="19">
        <f>IF(A155=INDEX($C$50:$E$50,D155)+4,INDEX($C$46:$E$46,D155)*0.3*(1+'02_Plan'!$B$32),0)+IF(A155=INDEX($C$50:$E$50,D155)+9,INDEX($C$46:$E$46,D155)*0.7*(1+'02_Plan'!$B$32),0)</f>
        <v>0</v>
      </c>
      <c r="Z155" s="19">
        <f>IF(A155=INDEX($C$50:$E$50,D155)+14,INDEX($C$47:$E$47,D155)*(1+'02_Plan'!$B$32),0)</f>
        <v>0</v>
      </c>
      <c r="AA155" s="19">
        <f t="shared" si="59"/>
        <v>0</v>
      </c>
      <c r="AB155" s="19">
        <f t="shared" si="60"/>
        <v>0.17146179203225803</v>
      </c>
      <c r="AC155" s="19">
        <f t="shared" si="61"/>
        <v>0.70164552612007158</v>
      </c>
      <c r="AD155" s="19">
        <f t="shared" si="62"/>
        <v>-0.5301837340878135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4"/>
  <sheetViews>
    <sheetView workbookViewId="0"/>
  </sheetViews>
  <sheetFormatPr defaultRowHeight="14.5" x14ac:dyDescent="0.35"/>
  <cols>
    <col min="1" max="1" width="40" customWidth="1"/>
    <col min="2" max="2" width="12" customWidth="1"/>
    <col min="3" max="16" width="9" customWidth="1"/>
  </cols>
  <sheetData>
    <row r="1" spans="1:16" ht="24" customHeight="1" x14ac:dyDescent="0.4">
      <c r="A1" s="1" t="s">
        <v>255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35">
      <c r="A2" s="3" t="s">
        <v>256</v>
      </c>
    </row>
    <row r="3" spans="1:16" x14ac:dyDescent="0.35">
      <c r="C3" s="14">
        <v>1</v>
      </c>
      <c r="D3" s="14">
        <v>2</v>
      </c>
      <c r="E3" s="14">
        <v>3</v>
      </c>
      <c r="F3" s="14">
        <v>4</v>
      </c>
      <c r="G3" s="14">
        <v>5</v>
      </c>
      <c r="H3" s="14">
        <v>6</v>
      </c>
      <c r="I3" s="14">
        <v>7</v>
      </c>
      <c r="J3" s="14">
        <v>8</v>
      </c>
      <c r="K3" s="14">
        <v>9</v>
      </c>
      <c r="L3" s="14">
        <v>10</v>
      </c>
      <c r="M3" s="14">
        <v>11</v>
      </c>
      <c r="N3" s="14">
        <v>12</v>
      </c>
      <c r="O3" s="14">
        <v>13</v>
      </c>
    </row>
    <row r="4" spans="1:16" x14ac:dyDescent="0.35">
      <c r="A4" s="9" t="s">
        <v>257</v>
      </c>
      <c r="B4" s="10"/>
      <c r="C4" s="10" t="s">
        <v>258</v>
      </c>
      <c r="D4" s="10" t="s">
        <v>259</v>
      </c>
      <c r="E4" s="10" t="s">
        <v>260</v>
      </c>
      <c r="F4" s="10" t="s">
        <v>261</v>
      </c>
      <c r="G4" s="10" t="s">
        <v>262</v>
      </c>
      <c r="H4" s="10" t="s">
        <v>263</v>
      </c>
      <c r="I4" s="10" t="s">
        <v>264</v>
      </c>
      <c r="J4" s="10" t="s">
        <v>265</v>
      </c>
      <c r="K4" s="10" t="s">
        <v>266</v>
      </c>
      <c r="L4" s="10" t="s">
        <v>267</v>
      </c>
      <c r="M4" s="10" t="s">
        <v>268</v>
      </c>
      <c r="N4" s="10" t="s">
        <v>269</v>
      </c>
      <c r="O4" s="10" t="s">
        <v>270</v>
      </c>
      <c r="P4" s="10" t="s">
        <v>271</v>
      </c>
    </row>
    <row r="5" spans="1:16" x14ac:dyDescent="0.35">
      <c r="A5" s="5" t="s">
        <v>272</v>
      </c>
      <c r="C5" s="30">
        <f>DATE(2026,4,1)+0</f>
        <v>46113</v>
      </c>
      <c r="D5" s="30">
        <f>DATE(2026,4,1)+7</f>
        <v>46120</v>
      </c>
      <c r="E5" s="30">
        <f>DATE(2026,4,1)+14</f>
        <v>46127</v>
      </c>
      <c r="F5" s="30">
        <f>DATE(2026,4,1)+21</f>
        <v>46134</v>
      </c>
      <c r="G5" s="30">
        <f>DATE(2026,4,1)+28</f>
        <v>46141</v>
      </c>
      <c r="H5" s="30">
        <f>DATE(2026,4,1)+35</f>
        <v>46148</v>
      </c>
      <c r="I5" s="30">
        <f>DATE(2026,4,1)+42</f>
        <v>46155</v>
      </c>
      <c r="J5" s="30">
        <f>DATE(2026,4,1)+49</f>
        <v>46162</v>
      </c>
      <c r="K5" s="30">
        <f>DATE(2026,4,1)+56</f>
        <v>46169</v>
      </c>
      <c r="L5" s="30">
        <f>DATE(2026,4,1)+63</f>
        <v>46176</v>
      </c>
      <c r="M5" s="30">
        <f>DATE(2026,4,1)+70</f>
        <v>46183</v>
      </c>
      <c r="N5" s="30">
        <f>DATE(2026,4,1)+77</f>
        <v>46190</v>
      </c>
      <c r="O5" s="30">
        <f>DATE(2026,4,1)+84</f>
        <v>46197</v>
      </c>
    </row>
    <row r="6" spans="1:16" x14ac:dyDescent="0.35">
      <c r="A6" s="11" t="s">
        <v>273</v>
      </c>
      <c r="C6" s="31">
        <f>'03_Days'!$B$14</f>
        <v>12.59</v>
      </c>
      <c r="D6" s="24">
        <f t="shared" ref="D6:O6" si="0">C26</f>
        <v>12.498769779955555</v>
      </c>
      <c r="E6" s="24">
        <f t="shared" si="0"/>
        <v>12.397969489526368</v>
      </c>
      <c r="F6" s="24">
        <f t="shared" si="0"/>
        <v>12.286613251859702</v>
      </c>
      <c r="G6" s="24">
        <f t="shared" si="0"/>
        <v>12.307890591276369</v>
      </c>
      <c r="H6" s="24">
        <f t="shared" si="0"/>
        <v>11.806616976391961</v>
      </c>
      <c r="I6" s="24">
        <f t="shared" si="0"/>
        <v>11.726552291193933</v>
      </c>
      <c r="J6" s="24">
        <f t="shared" si="0"/>
        <v>10.777657950648234</v>
      </c>
      <c r="K6" s="24">
        <f t="shared" si="0"/>
        <v>10.70766805765361</v>
      </c>
      <c r="L6" s="24">
        <f t="shared" si="0"/>
        <v>10.085322012157194</v>
      </c>
      <c r="M6" s="24">
        <f t="shared" si="0"/>
        <v>9.8020135810841964</v>
      </c>
      <c r="N6" s="24">
        <f t="shared" si="0"/>
        <v>8.626395425052058</v>
      </c>
      <c r="O6" s="24">
        <f t="shared" si="0"/>
        <v>8.6533072723919613</v>
      </c>
    </row>
    <row r="7" spans="1:16" x14ac:dyDescent="0.35">
      <c r="A7" s="5" t="s">
        <v>237</v>
      </c>
      <c r="C7" s="20">
        <f>SUMIFS('03_Days'!$K$65:$K$155,'03_Days'!$C$65:$C$155,C$3)</f>
        <v>0.17183880773333332</v>
      </c>
      <c r="D7" s="20">
        <f>SUMIFS('03_Days'!$K$65:$K$155,'03_Days'!$C$65:$C$155,D$3)</f>
        <v>0.33722090404444444</v>
      </c>
      <c r="E7" s="20">
        <f>SUMIFS('03_Days'!$K$65:$K$155,'03_Days'!$C$65:$C$155,E$3)</f>
        <v>0.34905971177777778</v>
      </c>
      <c r="F7" s="20">
        <f>SUMIFS('03_Days'!$K$65:$K$155,'03_Days'!$C$65:$C$155,F$3)</f>
        <v>0.34905971177777778</v>
      </c>
      <c r="G7" s="20">
        <f>SUMIFS('03_Days'!$K$65:$K$155,'03_Days'!$C$65:$C$155,G$3)</f>
        <v>0.34905971177777778</v>
      </c>
      <c r="H7" s="20">
        <f>SUMIFS('03_Days'!$K$65:$K$155,'03_Days'!$C$65:$C$155,H$3)</f>
        <v>0.34101686127598568</v>
      </c>
      <c r="I7" s="20">
        <f>SUMIFS('03_Days'!$K$65:$K$155,'03_Days'!$C$65:$C$155,I$3)</f>
        <v>0.33779972107526884</v>
      </c>
      <c r="J7" s="20">
        <f>SUMIFS('03_Days'!$K$65:$K$155,'03_Days'!$C$65:$C$155,J$3)</f>
        <v>0.33779972107526884</v>
      </c>
      <c r="K7" s="20">
        <f>SUMIFS('03_Days'!$K$65:$K$155,'03_Days'!$C$65:$C$155,K$3)</f>
        <v>0.33779972107526884</v>
      </c>
      <c r="L7" s="20">
        <f>SUMIFS('03_Days'!$K$65:$K$155,'03_Days'!$C$65:$C$155,L$3)</f>
        <v>0.34870014904946239</v>
      </c>
      <c r="M7" s="20">
        <f>SUMIFS('03_Days'!$K$65:$K$155,'03_Days'!$C$65:$C$155,M$3)</f>
        <v>0.36777589800430111</v>
      </c>
      <c r="N7" s="20">
        <f>SUMIFS('03_Days'!$K$65:$K$155,'03_Days'!$C$65:$C$155,N$3)</f>
        <v>0.36959263600000003</v>
      </c>
      <c r="O7" s="20">
        <f>SUMIFS('03_Days'!$K$65:$K$155,'03_Days'!$C$65:$C$155,O$3)</f>
        <v>0.36959263600000003</v>
      </c>
      <c r="P7" s="20">
        <f t="shared" ref="P7:P23" si="1">SUM(C7:O7)</f>
        <v>4.3663161906666668</v>
      </c>
    </row>
    <row r="8" spans="1:16" x14ac:dyDescent="0.35">
      <c r="A8" s="5" t="s">
        <v>238</v>
      </c>
      <c r="C8" s="20">
        <f>SUMIFS('03_Days'!$L$65:$L$155,'03_Days'!$C$65:$C$155,C$3)</f>
        <v>0.36</v>
      </c>
      <c r="D8" s="20">
        <f>SUMIFS('03_Days'!$L$65:$L$155,'03_Days'!$C$65:$C$155,D$3)</f>
        <v>0.48579069249999995</v>
      </c>
      <c r="E8" s="20">
        <f>SUMIFS('03_Days'!$L$65:$L$155,'03_Days'!$C$65:$C$155,E$3)</f>
        <v>0.29351161583333329</v>
      </c>
      <c r="F8" s="20">
        <f>SUMIFS('03_Days'!$L$65:$L$155,'03_Days'!$C$65:$C$155,F$3)</f>
        <v>0.29351161583333329</v>
      </c>
      <c r="G8" s="20">
        <f>SUMIFS('03_Days'!$L$65:$L$155,'03_Days'!$C$65:$C$155,G$3)</f>
        <v>0.29351161583333329</v>
      </c>
      <c r="H8" s="20">
        <f>SUMIFS('03_Days'!$L$65:$L$155,'03_Days'!$C$65:$C$155,H$3)</f>
        <v>0.29215902774193547</v>
      </c>
      <c r="I8" s="20">
        <f>SUMIFS('03_Days'!$L$65:$L$155,'03_Days'!$C$65:$C$155,I$3)</f>
        <v>0.28404349919354838</v>
      </c>
      <c r="J8" s="20">
        <f>SUMIFS('03_Days'!$L$65:$L$155,'03_Days'!$C$65:$C$155,J$3)</f>
        <v>0.28404349919354838</v>
      </c>
      <c r="K8" s="20">
        <f>SUMIFS('03_Days'!$L$65:$L$155,'03_Days'!$C$65:$C$155,K$3)</f>
        <v>0.28404349919354838</v>
      </c>
      <c r="L8" s="20">
        <f>SUMIFS('03_Days'!$L$65:$L$155,'03_Days'!$C$65:$C$155,L$3)</f>
        <v>0.28404349919354838</v>
      </c>
      <c r="M8" s="20">
        <f>SUMIFS('03_Days'!$L$65:$L$155,'03_Days'!$C$65:$C$155,M$3)</f>
        <v>0.30313886048387095</v>
      </c>
      <c r="N8" s="20">
        <f>SUMIFS('03_Days'!$L$65:$L$155,'03_Days'!$C$65:$C$155,N$3)</f>
        <v>0.31077700499999994</v>
      </c>
      <c r="O8" s="20">
        <f>SUMIFS('03_Days'!$L$65:$L$155,'03_Days'!$C$65:$C$155,O$3)</f>
        <v>0.31077700499999994</v>
      </c>
      <c r="P8" s="20">
        <f t="shared" si="1"/>
        <v>4.0793514349999995</v>
      </c>
    </row>
    <row r="9" spans="1:16" x14ac:dyDescent="0.35">
      <c r="A9" s="5" t="s">
        <v>239</v>
      </c>
      <c r="C9" s="20">
        <f>SUMIFS('03_Days'!$M$65:$M$155,'03_Days'!$C$65:$C$155,C$3)</f>
        <v>9.6444444444444444E-2</v>
      </c>
      <c r="D9" s="20">
        <f>SUMIFS('03_Days'!$M$65:$M$155,'03_Days'!$C$65:$C$155,D$3)</f>
        <v>9.6444444444444444E-2</v>
      </c>
      <c r="E9" s="20">
        <f>SUMIFS('03_Days'!$M$65:$M$155,'03_Days'!$C$65:$C$155,E$3)</f>
        <v>9.6444444444444444E-2</v>
      </c>
      <c r="F9" s="20">
        <f>SUMIFS('03_Days'!$M$65:$M$155,'03_Days'!$C$65:$C$155,F$3)</f>
        <v>9.6444444444444444E-2</v>
      </c>
      <c r="G9" s="20">
        <f>SUMIFS('03_Days'!$M$65:$M$155,'03_Days'!$C$65:$C$155,G$3)</f>
        <v>9.6444444444444444E-2</v>
      </c>
      <c r="H9" s="20">
        <f>SUMIFS('03_Days'!$M$65:$M$155,'03_Days'!$C$65:$C$155,H$3)</f>
        <v>9.6444444444444444E-2</v>
      </c>
      <c r="I9" s="20">
        <f>SUMIFS('03_Days'!$M$65:$M$155,'03_Days'!$C$65:$C$155,I$3)</f>
        <v>0.14163333333333333</v>
      </c>
      <c r="J9" s="20">
        <f>SUMIFS('03_Days'!$M$65:$M$155,'03_Days'!$C$65:$C$155,J$3)</f>
        <v>0.17552500000000004</v>
      </c>
      <c r="K9" s="20">
        <f>SUMIFS('03_Days'!$M$65:$M$155,'03_Days'!$C$65:$C$155,K$3)</f>
        <v>0.17552500000000004</v>
      </c>
      <c r="L9" s="20">
        <f>SUMIFS('03_Days'!$M$65:$M$155,'03_Days'!$C$65:$C$155,L$3)</f>
        <v>0.17552500000000004</v>
      </c>
      <c r="M9" s="20">
        <f>SUMIFS('03_Days'!$M$65:$M$155,'03_Days'!$C$65:$C$155,M$3)</f>
        <v>0.17390725806451612</v>
      </c>
      <c r="N9" s="20">
        <f>SUMIFS('03_Days'!$M$65:$M$155,'03_Days'!$C$65:$C$155,N$3)</f>
        <v>0.16986290322580641</v>
      </c>
      <c r="O9" s="20">
        <f>SUMIFS('03_Days'!$M$65:$M$155,'03_Days'!$C$65:$C$155,O$3)</f>
        <v>0.16986290322580641</v>
      </c>
      <c r="P9" s="20">
        <f t="shared" si="1"/>
        <v>1.7605080645161291</v>
      </c>
    </row>
    <row r="10" spans="1:16" x14ac:dyDescent="0.35">
      <c r="A10" s="5" t="s">
        <v>151</v>
      </c>
      <c r="C10" s="20">
        <f>SUMIFS('03_Days'!$N$65:$N$155,'03_Days'!$C$65:$C$155,C$3)</f>
        <v>0</v>
      </c>
      <c r="D10" s="20">
        <f>SUMIFS('03_Days'!$N$65:$N$155,'03_Days'!$C$65:$C$155,D$3)</f>
        <v>0</v>
      </c>
      <c r="E10" s="20">
        <f>SUMIFS('03_Days'!$N$65:$N$155,'03_Days'!$C$65:$C$155,E$3)</f>
        <v>0</v>
      </c>
      <c r="F10" s="20">
        <f>SUMIFS('03_Days'!$N$65:$N$155,'03_Days'!$C$65:$C$155,F$3)</f>
        <v>0</v>
      </c>
      <c r="G10" s="20">
        <f>SUMIFS('03_Days'!$N$65:$N$155,'03_Days'!$C$65:$C$155,G$3)</f>
        <v>4.9999999999999996E-2</v>
      </c>
      <c r="H10" s="20">
        <f>SUMIFS('03_Days'!$N$65:$N$155,'03_Days'!$C$65:$C$155,H$3)</f>
        <v>0</v>
      </c>
      <c r="I10" s="20">
        <f>SUMIFS('03_Days'!$N$65:$N$155,'03_Days'!$C$65:$C$155,I$3)</f>
        <v>0</v>
      </c>
      <c r="J10" s="20">
        <f>SUMIFS('03_Days'!$N$65:$N$155,'03_Days'!$C$65:$C$155,J$3)</f>
        <v>0</v>
      </c>
      <c r="K10" s="20">
        <f>SUMIFS('03_Days'!$N$65:$N$155,'03_Days'!$C$65:$C$155,K$3)</f>
        <v>4.9999999999999996E-2</v>
      </c>
      <c r="L10" s="20">
        <f>SUMIFS('03_Days'!$N$65:$N$155,'03_Days'!$C$65:$C$155,L$3)</f>
        <v>0</v>
      </c>
      <c r="M10" s="20">
        <f>SUMIFS('03_Days'!$N$65:$N$155,'03_Days'!$C$65:$C$155,M$3)</f>
        <v>0</v>
      </c>
      <c r="N10" s="20">
        <f>SUMIFS('03_Days'!$N$65:$N$155,'03_Days'!$C$65:$C$155,N$3)</f>
        <v>0</v>
      </c>
      <c r="O10" s="20">
        <f>SUMIFS('03_Days'!$N$65:$N$155,'03_Days'!$C$65:$C$155,O$3)</f>
        <v>4.9999999999999996E-2</v>
      </c>
      <c r="P10" s="20">
        <f t="shared" si="1"/>
        <v>0.15</v>
      </c>
    </row>
    <row r="11" spans="1:16" x14ac:dyDescent="0.35">
      <c r="A11" s="5" t="s">
        <v>274</v>
      </c>
      <c r="C11" s="20">
        <f>-SUMIFS('03_Days'!$O$65:$O$155,'03_Days'!$C$65:$C$155,C$3)</f>
        <v>-0.21155555555555558</v>
      </c>
      <c r="D11" s="20">
        <f>-SUMIFS('03_Days'!$O$65:$O$155,'03_Days'!$C$65:$C$155,D$3)</f>
        <v>-0.21155555555555558</v>
      </c>
      <c r="E11" s="20">
        <f>-SUMIFS('03_Days'!$O$65:$O$155,'03_Days'!$C$65:$C$155,E$3)</f>
        <v>-0.21155555555555558</v>
      </c>
      <c r="F11" s="20">
        <f>-SUMIFS('03_Days'!$O$65:$O$155,'03_Days'!$C$65:$C$155,F$3)</f>
        <v>-0.21155555555555558</v>
      </c>
      <c r="G11" s="20">
        <f>-SUMIFS('03_Days'!$O$65:$O$155,'03_Days'!$C$65:$C$155,G$3)</f>
        <v>-0.21155555555555558</v>
      </c>
      <c r="H11" s="20">
        <f>-SUMIFS('03_Days'!$O$65:$O$155,'03_Days'!$C$65:$C$155,H$3)</f>
        <v>-0.21155555555555558</v>
      </c>
      <c r="I11" s="20">
        <f>-SUMIFS('03_Days'!$O$65:$O$155,'03_Days'!$C$65:$C$155,I$3)</f>
        <v>-0.37094278400000003</v>
      </c>
      <c r="J11" s="20">
        <f>-SUMIFS('03_Days'!$O$65:$O$155,'03_Days'!$C$65:$C$155,J$3)</f>
        <v>-0.49048320533333345</v>
      </c>
      <c r="K11" s="20">
        <f>-SUMIFS('03_Days'!$O$65:$O$155,'03_Days'!$C$65:$C$155,K$3)</f>
        <v>-0.49048320533333345</v>
      </c>
      <c r="L11" s="20">
        <f>-SUMIFS('03_Days'!$O$65:$O$155,'03_Days'!$C$65:$C$155,L$3)</f>
        <v>-0.49048320533333345</v>
      </c>
      <c r="M11" s="20">
        <f>-SUMIFS('03_Days'!$O$65:$O$155,'03_Days'!$C$65:$C$155,M$3)</f>
        <v>-0.44717335827956983</v>
      </c>
      <c r="N11" s="20">
        <f>-SUMIFS('03_Days'!$O$65:$O$155,'03_Days'!$C$65:$C$155,N$3)</f>
        <v>-0.33889874064516112</v>
      </c>
      <c r="O11" s="20">
        <f>-SUMIFS('03_Days'!$O$65:$O$155,'03_Days'!$C$65:$C$155,O$3)</f>
        <v>-0.33889874064516112</v>
      </c>
      <c r="P11" s="20">
        <f t="shared" si="1"/>
        <v>-4.2366965729032264</v>
      </c>
    </row>
    <row r="12" spans="1:16" x14ac:dyDescent="0.35">
      <c r="A12" s="5" t="s">
        <v>275</v>
      </c>
      <c r="C12" s="20">
        <f>-SUMIFS('03_Days'!$P$65:$P$155,'03_Days'!$C$65:$C$155,C$3)</f>
        <v>-0.10733333333333335</v>
      </c>
      <c r="D12" s="20">
        <f>-SUMIFS('03_Days'!$P$65:$P$155,'03_Days'!$C$65:$C$155,D$3)</f>
        <v>-0.10733333333333335</v>
      </c>
      <c r="E12" s="20">
        <f>-SUMIFS('03_Days'!$P$65:$P$155,'03_Days'!$C$65:$C$155,E$3)</f>
        <v>-0.10733333333333335</v>
      </c>
      <c r="F12" s="20">
        <f>-SUMIFS('03_Days'!$P$65:$P$155,'03_Days'!$C$65:$C$155,F$3)</f>
        <v>-0.10733333333333335</v>
      </c>
      <c r="G12" s="20">
        <f>-SUMIFS('03_Days'!$P$65:$P$155,'03_Days'!$C$65:$C$155,G$3)</f>
        <v>-0.10733333333333335</v>
      </c>
      <c r="H12" s="20">
        <f>-SUMIFS('03_Days'!$P$65:$P$155,'03_Days'!$C$65:$C$155,H$3)</f>
        <v>-0.10733333333333335</v>
      </c>
      <c r="I12" s="20">
        <f>-SUMIFS('03_Days'!$P$65:$P$155,'03_Days'!$C$65:$C$155,I$3)</f>
        <v>-0.10733333333333335</v>
      </c>
      <c r="J12" s="20">
        <f>-SUMIFS('03_Days'!$P$65:$P$155,'03_Days'!$C$65:$C$155,J$3)</f>
        <v>-0.10733333333333335</v>
      </c>
      <c r="K12" s="20">
        <f>-SUMIFS('03_Days'!$P$65:$P$155,'03_Days'!$C$65:$C$155,K$3)</f>
        <v>-0.14308053422222225</v>
      </c>
      <c r="L12" s="20">
        <f>-SUMIFS('03_Days'!$P$65:$P$155,'03_Days'!$C$65:$C$155,L$3)</f>
        <v>-0.1907434687407408</v>
      </c>
      <c r="M12" s="20">
        <f>-SUMIFS('03_Days'!$P$65:$P$155,'03_Days'!$C$65:$C$155,M$3)</f>
        <v>-0.1907434687407408</v>
      </c>
      <c r="N12" s="20">
        <f>-SUMIFS('03_Days'!$P$65:$P$155,'03_Days'!$C$65:$C$155,N$3)</f>
        <v>-0.1907434687407408</v>
      </c>
      <c r="O12" s="20">
        <f>-SUMIFS('03_Days'!$P$65:$P$155,'03_Days'!$C$65:$C$155,O$3)</f>
        <v>-0.18232210959139789</v>
      </c>
      <c r="P12" s="20">
        <f t="shared" si="1"/>
        <v>-1.7562997167025094</v>
      </c>
    </row>
    <row r="13" spans="1:16" x14ac:dyDescent="0.35">
      <c r="A13" s="5" t="s">
        <v>276</v>
      </c>
      <c r="C13" s="20">
        <f>-SUMIFS('03_Days'!$Q$65:$Q$155,'03_Days'!$C$65:$C$155,C$3)</f>
        <v>0</v>
      </c>
      <c r="D13" s="20">
        <f>-SUMIFS('03_Days'!$Q$65:$Q$155,'03_Days'!$C$65:$C$155,D$3)</f>
        <v>-0.20162285919585449</v>
      </c>
      <c r="E13" s="20">
        <f>-SUMIFS('03_Days'!$Q$65:$Q$155,'03_Days'!$C$65:$C$155,E$3)</f>
        <v>0</v>
      </c>
      <c r="F13" s="20">
        <f>-SUMIFS('03_Days'!$Q$65:$Q$155,'03_Days'!$C$65:$C$155,F$3)</f>
        <v>0</v>
      </c>
      <c r="G13" s="20">
        <f>-SUMIFS('03_Days'!$Q$65:$Q$155,'03_Days'!$C$65:$C$155,G$3)</f>
        <v>0</v>
      </c>
      <c r="H13" s="20">
        <f>-SUMIFS('03_Days'!$Q$65:$Q$155,'03_Days'!$C$65:$C$155,H$3)</f>
        <v>0</v>
      </c>
      <c r="I13" s="20">
        <f>-SUMIFS('03_Days'!$Q$65:$Q$155,'03_Days'!$C$65:$C$155,I$3)</f>
        <v>0</v>
      </c>
      <c r="J13" s="20">
        <f>-SUMIFS('03_Days'!$Q$65:$Q$155,'03_Days'!$C$65:$C$155,J$3)</f>
        <v>0</v>
      </c>
      <c r="K13" s="20">
        <f>-SUMIFS('03_Days'!$Q$65:$Q$155,'03_Days'!$C$65:$C$155,K$3)</f>
        <v>0</v>
      </c>
      <c r="L13" s="20">
        <f>-SUMIFS('03_Days'!$Q$65:$Q$155,'03_Days'!$C$65:$C$155,L$3)</f>
        <v>0</v>
      </c>
      <c r="M13" s="20">
        <f>-SUMIFS('03_Days'!$Q$65:$Q$155,'03_Days'!$C$65:$C$155,M$3)</f>
        <v>0</v>
      </c>
      <c r="N13" s="20">
        <f>-SUMIFS('03_Days'!$Q$65:$Q$155,'03_Days'!$C$65:$C$155,N$3)</f>
        <v>0</v>
      </c>
      <c r="O13" s="20">
        <f>-SUMIFS('03_Days'!$Q$65:$Q$155,'03_Days'!$C$65:$C$155,O$3)</f>
        <v>0</v>
      </c>
      <c r="P13" s="20">
        <f t="shared" si="1"/>
        <v>-0.20162285919585449</v>
      </c>
    </row>
    <row r="14" spans="1:16" x14ac:dyDescent="0.35">
      <c r="A14" s="5" t="s">
        <v>277</v>
      </c>
      <c r="C14" s="20">
        <f>-SUMIFS('03_Days'!$R$65:$R$155,'03_Days'!$C$65:$C$155,C$3)</f>
        <v>-0.12133333333333335</v>
      </c>
      <c r="D14" s="20">
        <f>-SUMIFS('03_Days'!$R$65:$R$155,'03_Days'!$C$65:$C$155,D$3)</f>
        <v>-0.12133333333333335</v>
      </c>
      <c r="E14" s="20">
        <f>-SUMIFS('03_Days'!$R$65:$R$155,'03_Days'!$C$65:$C$155,E$3)</f>
        <v>-0.18353187083333333</v>
      </c>
      <c r="F14" s="20">
        <f>-SUMIFS('03_Days'!$R$65:$R$155,'03_Days'!$C$65:$C$155,F$3)</f>
        <v>-0.19389829374999995</v>
      </c>
      <c r="G14" s="20">
        <f>-SUMIFS('03_Days'!$R$65:$R$155,'03_Days'!$C$65:$C$155,G$3)</f>
        <v>-0.10723162708333336</v>
      </c>
      <c r="H14" s="20">
        <f>-SUMIFS('03_Days'!$R$65:$R$155,'03_Days'!$C$65:$C$155,H$3)</f>
        <v>-7.2564960416666657E-2</v>
      </c>
      <c r="I14" s="20">
        <f>-SUMIFS('03_Days'!$R$65:$R$155,'03_Days'!$C$65:$C$155,I$3)</f>
        <v>-7.1227357459677426E-2</v>
      </c>
      <c r="J14" s="20">
        <f>-SUMIFS('03_Days'!$R$65:$R$155,'03_Days'!$C$65:$C$155,J$3)</f>
        <v>-7.0224155241935496E-2</v>
      </c>
      <c r="K14" s="20">
        <f>-SUMIFS('03_Days'!$R$65:$R$155,'03_Days'!$C$65:$C$155,K$3)</f>
        <v>-7.0224155241935496E-2</v>
      </c>
      <c r="L14" s="20">
        <f>-SUMIFS('03_Days'!$R$65:$R$155,'03_Days'!$C$65:$C$155,L$3)</f>
        <v>-7.0224155241935496E-2</v>
      </c>
      <c r="M14" s="20">
        <f>-SUMIFS('03_Days'!$R$65:$R$155,'03_Days'!$C$65:$C$155,M$3)</f>
        <v>-7.116834556451615E-2</v>
      </c>
      <c r="N14" s="20">
        <f>-SUMIFS('03_Days'!$R$65:$R$155,'03_Days'!$C$65:$C$155,N$3)</f>
        <v>-7.6833487500000006E-2</v>
      </c>
      <c r="O14" s="20">
        <f>-SUMIFS('03_Days'!$R$65:$R$155,'03_Days'!$C$65:$C$155,O$3)</f>
        <v>-7.6833487500000006E-2</v>
      </c>
      <c r="P14" s="20">
        <f t="shared" si="1"/>
        <v>-1.3066285625000005</v>
      </c>
    </row>
    <row r="15" spans="1:16" x14ac:dyDescent="0.35">
      <c r="A15" s="5" t="s">
        <v>244</v>
      </c>
      <c r="C15" s="20">
        <f>-SUMIFS('03_Days'!$S$65:$S$155,'03_Days'!$C$65:$C$155,C$3)</f>
        <v>-0.20495124999999997</v>
      </c>
      <c r="D15" s="20">
        <f>-SUMIFS('03_Days'!$S$65:$S$155,'03_Days'!$C$65:$C$155,D$3)</f>
        <v>-0.20495124999999997</v>
      </c>
      <c r="E15" s="20">
        <f>-SUMIFS('03_Days'!$S$65:$S$155,'03_Days'!$C$65:$C$155,E$3)</f>
        <v>-0.20495124999999997</v>
      </c>
      <c r="F15" s="20">
        <f>-SUMIFS('03_Days'!$S$65:$S$155,'03_Days'!$C$65:$C$155,F$3)</f>
        <v>-0.20495124999999997</v>
      </c>
      <c r="G15" s="20">
        <f>-SUMIFS('03_Days'!$S$65:$S$155,'03_Days'!$C$65:$C$155,G$3)</f>
        <v>-0.34182887096774189</v>
      </c>
      <c r="H15" s="20">
        <f>-SUMIFS('03_Days'!$S$65:$S$155,'03_Days'!$C$65:$C$155,H$3)</f>
        <v>-0.19833991935483872</v>
      </c>
      <c r="I15" s="20">
        <f>-SUMIFS('03_Days'!$S$65:$S$155,'03_Days'!$C$65:$C$155,I$3)</f>
        <v>-0.19833991935483872</v>
      </c>
      <c r="J15" s="20">
        <f>-SUMIFS('03_Days'!$S$65:$S$155,'03_Days'!$C$65:$C$155,J$3)</f>
        <v>-0.19833991935483872</v>
      </c>
      <c r="K15" s="20">
        <f>-SUMIFS('03_Days'!$S$65:$S$155,'03_Days'!$C$65:$C$155,K$3)</f>
        <v>-0.34492637096774192</v>
      </c>
      <c r="L15" s="20">
        <f>-SUMIFS('03_Days'!$S$65:$S$155,'03_Days'!$C$65:$C$155,L$3)</f>
        <v>-0.21579250000000003</v>
      </c>
      <c r="M15" s="20">
        <f>-SUMIFS('03_Days'!$S$65:$S$155,'03_Days'!$C$65:$C$155,M$3)</f>
        <v>-0.21579250000000003</v>
      </c>
      <c r="N15" s="20">
        <f>-SUMIFS('03_Days'!$S$65:$S$155,'03_Days'!$C$65:$C$155,N$3)</f>
        <v>-0.21579250000000003</v>
      </c>
      <c r="O15" s="20">
        <f>-SUMIFS('03_Days'!$S$65:$S$155,'03_Days'!$C$65:$C$155,O$3)</f>
        <v>-0.3573925</v>
      </c>
      <c r="P15" s="20">
        <f t="shared" si="1"/>
        <v>-3.1063500000000004</v>
      </c>
    </row>
    <row r="16" spans="1:16" x14ac:dyDescent="0.35">
      <c r="A16" s="5" t="s">
        <v>278</v>
      </c>
      <c r="C16" s="20">
        <f>-SUMIFS('03_Days'!$T$65:$T$155,'03_Days'!$C$65:$C$155,C$3)</f>
        <v>0</v>
      </c>
      <c r="D16" s="20">
        <f>-SUMIFS('03_Days'!$T$65:$T$155,'03_Days'!$C$65:$C$155,D$3)</f>
        <v>0</v>
      </c>
      <c r="E16" s="20">
        <f>-SUMIFS('03_Days'!$T$65:$T$155,'03_Days'!$C$65:$C$155,E$3)</f>
        <v>0</v>
      </c>
      <c r="F16" s="20">
        <f>-SUMIFS('03_Days'!$T$65:$T$155,'03_Days'!$C$65:$C$155,F$3)</f>
        <v>0</v>
      </c>
      <c r="G16" s="20">
        <f>-SUMIFS('03_Days'!$T$65:$T$155,'03_Days'!$C$65:$C$155,G$3)</f>
        <v>-0.39100000000000001</v>
      </c>
      <c r="H16" s="20">
        <f>-SUMIFS('03_Days'!$T$65:$T$155,'03_Days'!$C$65:$C$155,H$3)</f>
        <v>0</v>
      </c>
      <c r="I16" s="20">
        <f>-SUMIFS('03_Days'!$T$65:$T$155,'03_Days'!$C$65:$C$155,I$3)</f>
        <v>0</v>
      </c>
      <c r="J16" s="20">
        <f>-SUMIFS('03_Days'!$T$65:$T$155,'03_Days'!$C$65:$C$155,J$3)</f>
        <v>0</v>
      </c>
      <c r="K16" s="20">
        <f>-SUMIFS('03_Days'!$T$65:$T$155,'03_Days'!$C$65:$C$155,K$3)</f>
        <v>-0.42100000000000004</v>
      </c>
      <c r="L16" s="20">
        <f>-SUMIFS('03_Days'!$T$65:$T$155,'03_Days'!$C$65:$C$155,L$3)</f>
        <v>0</v>
      </c>
      <c r="M16" s="20">
        <f>-SUMIFS('03_Days'!$T$65:$T$155,'03_Days'!$C$65:$C$155,M$3)</f>
        <v>0</v>
      </c>
      <c r="N16" s="20">
        <f>-SUMIFS('03_Days'!$T$65:$T$155,'03_Days'!$C$65:$C$155,N$3)</f>
        <v>0</v>
      </c>
      <c r="O16" s="20">
        <f>-SUMIFS('03_Days'!$T$65:$T$155,'03_Days'!$C$65:$C$155,O$3)</f>
        <v>-0.45100000000000001</v>
      </c>
      <c r="P16" s="20">
        <f t="shared" si="1"/>
        <v>-1.2630000000000001</v>
      </c>
    </row>
    <row r="17" spans="1:16" x14ac:dyDescent="0.35">
      <c r="A17" s="5" t="s">
        <v>246</v>
      </c>
      <c r="C17" s="20">
        <f>-SUMIFS('03_Days'!$U$65:$U$155,'03_Days'!$C$65:$C$155,C$3)</f>
        <v>0</v>
      </c>
      <c r="D17" s="20">
        <f>-SUMIFS('03_Days'!$U$65:$U$155,'03_Days'!$C$65:$C$155,D$3)</f>
        <v>0</v>
      </c>
      <c r="E17" s="20">
        <f>-SUMIFS('03_Days'!$U$65:$U$155,'03_Days'!$C$65:$C$155,E$3)</f>
        <v>-0.12</v>
      </c>
      <c r="F17" s="20">
        <f>-SUMIFS('03_Days'!$U$65:$U$155,'03_Days'!$C$65:$C$155,F$3)</f>
        <v>0</v>
      </c>
      <c r="G17" s="20">
        <f>-SUMIFS('03_Days'!$U$65:$U$155,'03_Days'!$C$65:$C$155,G$3)</f>
        <v>0</v>
      </c>
      <c r="H17" s="20">
        <f>-SUMIFS('03_Days'!$U$65:$U$155,'03_Days'!$C$65:$C$155,H$3)</f>
        <v>0</v>
      </c>
      <c r="I17" s="20">
        <f>-SUMIFS('03_Days'!$U$65:$U$155,'03_Days'!$C$65:$C$155,I$3)</f>
        <v>0</v>
      </c>
      <c r="J17" s="20">
        <f>-SUMIFS('03_Days'!$U$65:$U$155,'03_Days'!$C$65:$C$155,J$3)</f>
        <v>0</v>
      </c>
      <c r="K17" s="20">
        <f>-SUMIFS('03_Days'!$U$65:$U$155,'03_Days'!$C$65:$C$155,K$3)</f>
        <v>0</v>
      </c>
      <c r="L17" s="20">
        <f>-SUMIFS('03_Days'!$U$65:$U$155,'03_Days'!$C$65:$C$155,L$3)</f>
        <v>0</v>
      </c>
      <c r="M17" s="20">
        <f>-SUMIFS('03_Days'!$U$65:$U$155,'03_Days'!$C$65:$C$155,M$3)</f>
        <v>0</v>
      </c>
      <c r="N17" s="20">
        <f>-SUMIFS('03_Days'!$U$65:$U$155,'03_Days'!$C$65:$C$155,N$3)</f>
        <v>0</v>
      </c>
      <c r="O17" s="20">
        <f>-SUMIFS('03_Days'!$U$65:$U$155,'03_Days'!$C$65:$C$155,O$3)</f>
        <v>0</v>
      </c>
      <c r="P17" s="20">
        <f t="shared" si="1"/>
        <v>-0.12</v>
      </c>
    </row>
    <row r="18" spans="1:16" x14ac:dyDescent="0.35">
      <c r="A18" s="5" t="s">
        <v>247</v>
      </c>
      <c r="C18" s="20">
        <f>-SUMIFS('03_Days'!$V$65:$V$155,'03_Days'!$C$65:$C$155,C$3)</f>
        <v>0</v>
      </c>
      <c r="D18" s="20">
        <f>-SUMIFS('03_Days'!$V$65:$V$155,'03_Days'!$C$65:$C$155,D$3)</f>
        <v>0</v>
      </c>
      <c r="E18" s="20">
        <f>-SUMIFS('03_Days'!$V$65:$V$155,'03_Days'!$C$65:$C$155,E$3)</f>
        <v>0</v>
      </c>
      <c r="F18" s="20">
        <f>-SUMIFS('03_Days'!$V$65:$V$155,'03_Days'!$C$65:$C$155,F$3)</f>
        <v>0</v>
      </c>
      <c r="G18" s="20">
        <f>-SUMIFS('03_Days'!$V$65:$V$155,'03_Days'!$C$65:$C$155,G$3)</f>
        <v>-5.7000000000000002E-2</v>
      </c>
      <c r="H18" s="20">
        <f>-SUMIFS('03_Days'!$V$65:$V$155,'03_Days'!$C$65:$C$155,H$3)</f>
        <v>-4.643125E-2</v>
      </c>
      <c r="I18" s="20">
        <f>-SUMIFS('03_Days'!$V$65:$V$155,'03_Days'!$C$65:$C$155,I$3)</f>
        <v>0</v>
      </c>
      <c r="J18" s="20">
        <f>-SUMIFS('03_Days'!$V$65:$V$155,'03_Days'!$C$65:$C$155,J$3)</f>
        <v>0</v>
      </c>
      <c r="K18" s="20">
        <f>-SUMIFS('03_Days'!$V$65:$V$155,'03_Days'!$C$65:$C$155,K$3)</f>
        <v>0</v>
      </c>
      <c r="L18" s="20">
        <f>-SUMIFS('03_Days'!$V$65:$V$155,'03_Days'!$C$65:$C$155,L$3)</f>
        <v>-4.9993750000000003E-2</v>
      </c>
      <c r="M18" s="20">
        <f>-SUMIFS('03_Days'!$V$65:$V$155,'03_Days'!$C$65:$C$155,M$3)</f>
        <v>0</v>
      </c>
      <c r="N18" s="20">
        <f>-SUMIFS('03_Days'!$V$65:$V$155,'03_Days'!$C$65:$C$155,N$3)</f>
        <v>0</v>
      </c>
      <c r="O18" s="20">
        <f>-SUMIFS('03_Days'!$V$65:$V$155,'03_Days'!$C$65:$C$155,O$3)</f>
        <v>0</v>
      </c>
      <c r="P18" s="20">
        <f t="shared" si="1"/>
        <v>-0.15342500000000001</v>
      </c>
    </row>
    <row r="19" spans="1:16" x14ac:dyDescent="0.35">
      <c r="A19" s="5" t="s">
        <v>248</v>
      </c>
      <c r="C19" s="20">
        <f>-SUMIFS('03_Days'!$W$65:$W$155,'03_Days'!$C$65:$C$155,C$3)</f>
        <v>0</v>
      </c>
      <c r="D19" s="20">
        <f>-SUMIFS('03_Days'!$W$65:$W$155,'03_Days'!$C$65:$C$155,D$3)</f>
        <v>0</v>
      </c>
      <c r="E19" s="20">
        <f>-SUMIFS('03_Days'!$W$65:$W$155,'03_Days'!$C$65:$C$155,E$3)</f>
        <v>-2.0999999999999998E-2</v>
      </c>
      <c r="F19" s="20">
        <f>-SUMIFS('03_Days'!$W$65:$W$155,'03_Days'!$C$65:$C$155,F$3)</f>
        <v>0</v>
      </c>
      <c r="G19" s="20">
        <f>-SUMIFS('03_Days'!$W$65:$W$155,'03_Days'!$C$65:$C$155,G$3)</f>
        <v>0</v>
      </c>
      <c r="H19" s="20">
        <f>-SUMIFS('03_Days'!$W$65:$W$155,'03_Days'!$C$65:$C$155,H$3)</f>
        <v>0</v>
      </c>
      <c r="I19" s="20">
        <f>-SUMIFS('03_Days'!$W$65:$W$155,'03_Days'!$C$65:$C$155,I$3)</f>
        <v>-2.0527500000000001E-2</v>
      </c>
      <c r="J19" s="20">
        <f>-SUMIFS('03_Days'!$W$65:$W$155,'03_Days'!$C$65:$C$155,J$3)</f>
        <v>0</v>
      </c>
      <c r="K19" s="20">
        <f>-SUMIFS('03_Days'!$W$65:$W$155,'03_Days'!$C$65:$C$155,K$3)</f>
        <v>0</v>
      </c>
      <c r="L19" s="20">
        <f>-SUMIFS('03_Days'!$W$65:$W$155,'03_Days'!$C$65:$C$155,L$3)</f>
        <v>0</v>
      </c>
      <c r="M19" s="20">
        <f>-SUMIFS('03_Days'!$W$65:$W$155,'03_Days'!$C$65:$C$155,M$3)</f>
        <v>-2.2102500000000001E-2</v>
      </c>
      <c r="N19" s="20">
        <f>-SUMIFS('03_Days'!$W$65:$W$155,'03_Days'!$C$65:$C$155,N$3)</f>
        <v>0</v>
      </c>
      <c r="O19" s="20">
        <f>-SUMIFS('03_Days'!$W$65:$W$155,'03_Days'!$C$65:$C$155,O$3)</f>
        <v>0</v>
      </c>
      <c r="P19" s="20">
        <f t="shared" si="1"/>
        <v>-6.3629999999999992E-2</v>
      </c>
    </row>
    <row r="20" spans="1:16" x14ac:dyDescent="0.35">
      <c r="A20" s="5" t="s">
        <v>249</v>
      </c>
      <c r="C20" s="20">
        <f>-SUMIFS('03_Days'!$X$65:$X$155,'03_Days'!$C$65:$C$155,C$3)</f>
        <v>0</v>
      </c>
      <c r="D20" s="20">
        <f>-SUMIFS('03_Days'!$X$65:$X$155,'03_Days'!$C$65:$C$155,D$3)</f>
        <v>0</v>
      </c>
      <c r="E20" s="20">
        <f>-SUMIFS('03_Days'!$X$65:$X$155,'03_Days'!$C$65:$C$155,E$3)</f>
        <v>-2E-3</v>
      </c>
      <c r="F20" s="20">
        <f>-SUMIFS('03_Days'!$X$65:$X$155,'03_Days'!$C$65:$C$155,F$3)</f>
        <v>0</v>
      </c>
      <c r="G20" s="20">
        <f>-SUMIFS('03_Days'!$X$65:$X$155,'03_Days'!$C$65:$C$155,G$3)</f>
        <v>0</v>
      </c>
      <c r="H20" s="20">
        <f>-SUMIFS('03_Days'!$X$65:$X$155,'03_Days'!$C$65:$C$155,H$3)</f>
        <v>0</v>
      </c>
      <c r="I20" s="20">
        <f>-SUMIFS('03_Days'!$X$65:$X$155,'03_Days'!$C$65:$C$155,I$3)</f>
        <v>0</v>
      </c>
      <c r="J20" s="20">
        <f>-SUMIFS('03_Days'!$X$65:$X$155,'03_Days'!$C$65:$C$155,J$3)</f>
        <v>-9.7749999999999985E-4</v>
      </c>
      <c r="K20" s="20">
        <f>-SUMIFS('03_Days'!$X$65:$X$155,'03_Days'!$C$65:$C$155,K$3)</f>
        <v>0</v>
      </c>
      <c r="L20" s="20">
        <f>-SUMIFS('03_Days'!$X$65:$X$155,'03_Days'!$C$65:$C$155,L$3)</f>
        <v>0</v>
      </c>
      <c r="M20" s="20">
        <f>-SUMIFS('03_Days'!$X$65:$X$155,'03_Days'!$C$65:$C$155,M$3)</f>
        <v>0</v>
      </c>
      <c r="N20" s="20">
        <f>-SUMIFS('03_Days'!$X$65:$X$155,'03_Days'!$C$65:$C$155,N$3)</f>
        <v>-1.0525000000000001E-3</v>
      </c>
      <c r="O20" s="20">
        <f>-SUMIFS('03_Days'!$X$65:$X$155,'03_Days'!$C$65:$C$155,O$3)</f>
        <v>0</v>
      </c>
      <c r="P20" s="20">
        <f t="shared" si="1"/>
        <v>-4.0300000000000006E-3</v>
      </c>
    </row>
    <row r="21" spans="1:16" x14ac:dyDescent="0.35">
      <c r="A21" s="5" t="s">
        <v>279</v>
      </c>
      <c r="C21" s="20">
        <f>-SUMIFS('03_Days'!$Y$65:$Y$155,'03_Days'!$C$65:$C$155,C$3)</f>
        <v>-7.4340000000000003E-2</v>
      </c>
      <c r="D21" s="20">
        <f>-SUMIFS('03_Days'!$Y$65:$Y$155,'03_Days'!$C$65:$C$155,D$3)</f>
        <v>-0.17345999999999998</v>
      </c>
      <c r="E21" s="20">
        <f>-SUMIFS('03_Days'!$Y$65:$Y$155,'03_Days'!$C$65:$C$155,E$3)</f>
        <v>0</v>
      </c>
      <c r="F21" s="20">
        <f>-SUMIFS('03_Days'!$Y$65:$Y$155,'03_Days'!$C$65:$C$155,F$3)</f>
        <v>0</v>
      </c>
      <c r="G21" s="20">
        <f>-SUMIFS('03_Days'!$Y$65:$Y$155,'03_Days'!$C$65:$C$155,G$3)</f>
        <v>-7.4340000000000003E-2</v>
      </c>
      <c r="H21" s="20">
        <f>-SUMIFS('03_Days'!$Y$65:$Y$155,'03_Days'!$C$65:$C$155,H$3)</f>
        <v>-0.17345999999999998</v>
      </c>
      <c r="I21" s="20">
        <f>-SUMIFS('03_Days'!$Y$65:$Y$155,'03_Days'!$C$65:$C$155,I$3)</f>
        <v>0</v>
      </c>
      <c r="J21" s="20">
        <f>-SUMIFS('03_Days'!$Y$65:$Y$155,'03_Days'!$C$65:$C$155,J$3)</f>
        <v>0</v>
      </c>
      <c r="K21" s="20">
        <f>-SUMIFS('03_Days'!$Y$65:$Y$155,'03_Days'!$C$65:$C$155,K$3)</f>
        <v>0</v>
      </c>
      <c r="L21" s="20">
        <f>-SUMIFS('03_Days'!$Y$65:$Y$155,'03_Days'!$C$65:$C$155,L$3)</f>
        <v>-7.4340000000000003E-2</v>
      </c>
      <c r="M21" s="20">
        <f>-SUMIFS('03_Days'!$Y$65:$Y$155,'03_Days'!$C$65:$C$155,M$3)</f>
        <v>-0.17345999999999998</v>
      </c>
      <c r="N21" s="20">
        <f>-SUMIFS('03_Days'!$Y$65:$Y$155,'03_Days'!$C$65:$C$155,N$3)</f>
        <v>0</v>
      </c>
      <c r="O21" s="20">
        <f>-SUMIFS('03_Days'!$Y$65:$Y$155,'03_Days'!$C$65:$C$155,O$3)</f>
        <v>0</v>
      </c>
      <c r="P21" s="20">
        <f t="shared" si="1"/>
        <v>-0.74339999999999984</v>
      </c>
    </row>
    <row r="22" spans="1:16" x14ac:dyDescent="0.35">
      <c r="A22" s="5" t="s">
        <v>131</v>
      </c>
      <c r="C22" s="20">
        <f>-SUMIFS('03_Days'!$Z$65:$Z$155,'03_Days'!$C$65:$C$155,C$3)</f>
        <v>0</v>
      </c>
      <c r="D22" s="20">
        <f>-SUMIFS('03_Days'!$Z$65:$Z$155,'03_Days'!$C$65:$C$155,D$3)</f>
        <v>0</v>
      </c>
      <c r="E22" s="20">
        <f>-SUMIFS('03_Days'!$Z$65:$Z$155,'03_Days'!$C$65:$C$155,E$3)</f>
        <v>0</v>
      </c>
      <c r="F22" s="20">
        <f>-SUMIFS('03_Days'!$Z$65:$Z$155,'03_Days'!$C$65:$C$155,F$3)</f>
        <v>0</v>
      </c>
      <c r="G22" s="20">
        <f>-SUMIFS('03_Days'!$Z$65:$Z$155,'03_Days'!$C$65:$C$155,G$3)</f>
        <v>0</v>
      </c>
      <c r="H22" s="20">
        <f>-SUMIFS('03_Days'!$Z$65:$Z$155,'03_Days'!$C$65:$C$155,H$3)</f>
        <v>0</v>
      </c>
      <c r="I22" s="20">
        <f>-SUMIFS('03_Days'!$Z$65:$Z$155,'03_Days'!$C$65:$C$155,I$3)</f>
        <v>-0.94399999999999995</v>
      </c>
      <c r="J22" s="20">
        <f>-SUMIFS('03_Days'!$Z$65:$Z$155,'03_Days'!$C$65:$C$155,J$3)</f>
        <v>0</v>
      </c>
      <c r="K22" s="20">
        <f>-SUMIFS('03_Days'!$Z$65:$Z$155,'03_Days'!$C$65:$C$155,K$3)</f>
        <v>0</v>
      </c>
      <c r="L22" s="20">
        <f>-SUMIFS('03_Days'!$Z$65:$Z$155,'03_Days'!$C$65:$C$155,L$3)</f>
        <v>0</v>
      </c>
      <c r="M22" s="20">
        <f>-SUMIFS('03_Days'!$Z$65:$Z$155,'03_Days'!$C$65:$C$155,M$3)</f>
        <v>0</v>
      </c>
      <c r="N22" s="20">
        <f>-SUMIFS('03_Days'!$Z$65:$Z$155,'03_Days'!$C$65:$C$155,N$3)</f>
        <v>0</v>
      </c>
      <c r="O22" s="20">
        <f>-SUMIFS('03_Days'!$Z$65:$Z$155,'03_Days'!$C$65:$C$155,O$3)</f>
        <v>0</v>
      </c>
      <c r="P22" s="20">
        <f t="shared" si="1"/>
        <v>-0.94399999999999995</v>
      </c>
    </row>
    <row r="23" spans="1:16" x14ac:dyDescent="0.35">
      <c r="A23" s="5" t="s">
        <v>251</v>
      </c>
      <c r="C23" s="20">
        <f>-SUMIFS('03_Days'!$AA$65:$AA$155,'03_Days'!$C$65:$C$155,C$3)</f>
        <v>0</v>
      </c>
      <c r="D23" s="20">
        <f>-SUMIFS('03_Days'!$AA$65:$AA$155,'03_Days'!$C$65:$C$155,D$3)</f>
        <v>0</v>
      </c>
      <c r="E23" s="20">
        <f>-SUMIFS('03_Days'!$AA$65:$AA$155,'03_Days'!$C$65:$C$155,E$3)</f>
        <v>0</v>
      </c>
      <c r="F23" s="20">
        <f>-SUMIFS('03_Days'!$AA$65:$AA$155,'03_Days'!$C$65:$C$155,F$3)</f>
        <v>0</v>
      </c>
      <c r="G23" s="20">
        <f>-SUMIFS('03_Days'!$AA$65:$AA$155,'03_Days'!$C$65:$C$155,G$3)</f>
        <v>0</v>
      </c>
      <c r="H23" s="20">
        <f>-SUMIFS('03_Days'!$AA$65:$AA$155,'03_Days'!$C$65:$C$155,H$3)</f>
        <v>0</v>
      </c>
      <c r="I23" s="20">
        <f>-SUMIFS('03_Days'!$AA$65:$AA$155,'03_Days'!$C$65:$C$155,I$3)</f>
        <v>0</v>
      </c>
      <c r="J23" s="20">
        <f>-SUMIFS('03_Days'!$AA$65:$AA$155,'03_Days'!$C$65:$C$155,J$3)</f>
        <v>0</v>
      </c>
      <c r="K23" s="20">
        <f>-SUMIFS('03_Days'!$AA$65:$AA$155,'03_Days'!$C$65:$C$155,K$3)</f>
        <v>0</v>
      </c>
      <c r="L23" s="20">
        <f>-SUMIFS('03_Days'!$AA$65:$AA$155,'03_Days'!$C$65:$C$155,L$3)</f>
        <v>0</v>
      </c>
      <c r="M23" s="20">
        <f>-SUMIFS('03_Days'!$AA$65:$AA$155,'03_Days'!$C$65:$C$155,M$3)</f>
        <v>-0.9</v>
      </c>
      <c r="N23" s="20">
        <f>-SUMIFS('03_Days'!$AA$65:$AA$155,'03_Days'!$C$65:$C$155,N$3)</f>
        <v>0</v>
      </c>
      <c r="O23" s="20">
        <f>-SUMIFS('03_Days'!$AA$65:$AA$155,'03_Days'!$C$65:$C$155,O$3)</f>
        <v>0</v>
      </c>
      <c r="P23" s="20">
        <f t="shared" si="1"/>
        <v>-0.9</v>
      </c>
    </row>
    <row r="24" spans="1:16" x14ac:dyDescent="0.35">
      <c r="A24" s="11" t="s">
        <v>252</v>
      </c>
      <c r="C24" s="24">
        <f t="shared" ref="C24:O24" si="2">SUM(C7:C10)</f>
        <v>0.62828325217777781</v>
      </c>
      <c r="D24" s="24">
        <f t="shared" si="2"/>
        <v>0.91945604098888889</v>
      </c>
      <c r="E24" s="24">
        <f t="shared" si="2"/>
        <v>0.73901577205555558</v>
      </c>
      <c r="F24" s="24">
        <f t="shared" si="2"/>
        <v>0.73901577205555558</v>
      </c>
      <c r="G24" s="24">
        <f t="shared" si="2"/>
        <v>0.78901577205555562</v>
      </c>
      <c r="H24" s="24">
        <f t="shared" si="2"/>
        <v>0.72962033346236554</v>
      </c>
      <c r="I24" s="24">
        <f t="shared" si="2"/>
        <v>0.76347655360215061</v>
      </c>
      <c r="J24" s="24">
        <f t="shared" si="2"/>
        <v>0.79736822026881726</v>
      </c>
      <c r="K24" s="24">
        <f t="shared" si="2"/>
        <v>0.84736822026881731</v>
      </c>
      <c r="L24" s="24">
        <f t="shared" si="2"/>
        <v>0.80826864824301081</v>
      </c>
      <c r="M24" s="24">
        <f t="shared" si="2"/>
        <v>0.84482201655268818</v>
      </c>
      <c r="N24" s="24">
        <f t="shared" si="2"/>
        <v>0.85023254422580641</v>
      </c>
      <c r="O24" s="24">
        <f t="shared" si="2"/>
        <v>0.90023254422580645</v>
      </c>
    </row>
    <row r="25" spans="1:16" x14ac:dyDescent="0.35">
      <c r="A25" s="11" t="s">
        <v>253</v>
      </c>
      <c r="C25" s="24">
        <f t="shared" ref="C25:O25" si="3">SUM(C11:C23)</f>
        <v>-0.71951347222222217</v>
      </c>
      <c r="D25" s="24">
        <f t="shared" si="3"/>
        <v>-1.0202563314180766</v>
      </c>
      <c r="E25" s="24">
        <f t="shared" si="3"/>
        <v>-0.85037200972222227</v>
      </c>
      <c r="F25" s="24">
        <f t="shared" si="3"/>
        <v>-0.71773843263888892</v>
      </c>
      <c r="G25" s="24">
        <f t="shared" si="3"/>
        <v>-1.2902893869399643</v>
      </c>
      <c r="H25" s="24">
        <f t="shared" si="3"/>
        <v>-0.80968501866039433</v>
      </c>
      <c r="I25" s="24">
        <f t="shared" si="3"/>
        <v>-1.7123708941478495</v>
      </c>
      <c r="J25" s="24">
        <f t="shared" si="3"/>
        <v>-0.86735811326344103</v>
      </c>
      <c r="K25" s="24">
        <f t="shared" si="3"/>
        <v>-1.4697142657652331</v>
      </c>
      <c r="L25" s="24">
        <f t="shared" si="3"/>
        <v>-1.0915770793160098</v>
      </c>
      <c r="M25" s="24">
        <f t="shared" si="3"/>
        <v>-2.0204401725848267</v>
      </c>
      <c r="N25" s="24">
        <f t="shared" si="3"/>
        <v>-0.82332069688590193</v>
      </c>
      <c r="O25" s="24">
        <f t="shared" si="3"/>
        <v>-1.4064468377365589</v>
      </c>
    </row>
    <row r="26" spans="1:16" x14ac:dyDescent="0.35">
      <c r="A26" s="11" t="s">
        <v>280</v>
      </c>
      <c r="C26" s="24">
        <f t="shared" ref="C26:O26" si="4">C6+C24+C25</f>
        <v>12.498769779955555</v>
      </c>
      <c r="D26" s="24">
        <f t="shared" si="4"/>
        <v>12.397969489526368</v>
      </c>
      <c r="E26" s="24">
        <f t="shared" si="4"/>
        <v>12.286613251859702</v>
      </c>
      <c r="F26" s="24">
        <f t="shared" si="4"/>
        <v>12.307890591276369</v>
      </c>
      <c r="G26" s="24">
        <f t="shared" si="4"/>
        <v>11.806616976391961</v>
      </c>
      <c r="H26" s="24">
        <f t="shared" si="4"/>
        <v>11.726552291193933</v>
      </c>
      <c r="I26" s="24">
        <f t="shared" si="4"/>
        <v>10.777657950648234</v>
      </c>
      <c r="J26" s="24">
        <f t="shared" si="4"/>
        <v>10.70766805765361</v>
      </c>
      <c r="K26" s="24">
        <f t="shared" si="4"/>
        <v>10.085322012157194</v>
      </c>
      <c r="L26" s="24">
        <f t="shared" si="4"/>
        <v>9.8020135810841964</v>
      </c>
      <c r="M26" s="24">
        <f t="shared" si="4"/>
        <v>8.626395425052058</v>
      </c>
      <c r="N26" s="24">
        <f t="shared" si="4"/>
        <v>8.6533072723919613</v>
      </c>
      <c r="O26" s="24">
        <f t="shared" si="4"/>
        <v>8.1470929788812096</v>
      </c>
    </row>
    <row r="27" spans="1:16" x14ac:dyDescent="0.35">
      <c r="A27" s="11" t="s">
        <v>281</v>
      </c>
      <c r="C27" s="20">
        <f>C26-'03_Days'!$B$15</f>
        <v>4.4987697799555555</v>
      </c>
      <c r="D27" s="20">
        <f>D26-'03_Days'!$B$15</f>
        <v>4.3979694895263677</v>
      </c>
      <c r="E27" s="20">
        <f>E26-'03_Days'!$B$15</f>
        <v>4.286613251859702</v>
      </c>
      <c r="F27" s="20">
        <f>F26-'03_Days'!$B$15</f>
        <v>4.3078905912763688</v>
      </c>
      <c r="G27" s="20">
        <f>G26-'03_Days'!$B$15</f>
        <v>3.8066169763919611</v>
      </c>
      <c r="H27" s="20">
        <f>H26-'03_Days'!$B$15</f>
        <v>3.7265522911939328</v>
      </c>
      <c r="I27" s="20">
        <f>I26-'03_Days'!$B$15</f>
        <v>2.7776579506482335</v>
      </c>
      <c r="J27" s="20">
        <f>J26-'03_Days'!$B$15</f>
        <v>2.7076680576536098</v>
      </c>
      <c r="K27" s="20">
        <f>K26-'03_Days'!$B$15</f>
        <v>2.085322012157194</v>
      </c>
      <c r="L27" s="20">
        <f>L26-'03_Days'!$B$15</f>
        <v>1.8020135810841964</v>
      </c>
      <c r="M27" s="20">
        <f>M26-'03_Days'!$B$15</f>
        <v>0.62639542505205803</v>
      </c>
      <c r="N27" s="20">
        <f>N26-'03_Days'!$B$15</f>
        <v>0.65330727239196129</v>
      </c>
      <c r="O27" s="20">
        <f>O26-'03_Days'!$B$15</f>
        <v>0.14709297888120965</v>
      </c>
    </row>
    <row r="29" spans="1:16" x14ac:dyDescent="0.35">
      <c r="A29" s="4" t="s">
        <v>282</v>
      </c>
    </row>
    <row r="30" spans="1:16" x14ac:dyDescent="0.35">
      <c r="A30" s="11" t="s">
        <v>283</v>
      </c>
      <c r="B30" s="24">
        <f>O26</f>
        <v>8.1470929788812096</v>
      </c>
    </row>
    <row r="31" spans="1:16" x14ac:dyDescent="0.35">
      <c r="A31" s="11" t="s">
        <v>284</v>
      </c>
      <c r="B31" s="24">
        <f>MIN(C26:O26)</f>
        <v>8.1470929788812096</v>
      </c>
    </row>
    <row r="32" spans="1:16" x14ac:dyDescent="0.35">
      <c r="A32" s="11" t="s">
        <v>285</v>
      </c>
      <c r="B32" s="32">
        <f>MATCH(B31,C26:O26,0)</f>
        <v>13</v>
      </c>
    </row>
    <row r="33" spans="1:2" x14ac:dyDescent="0.35">
      <c r="A33" s="11" t="s">
        <v>286</v>
      </c>
      <c r="B33" s="24">
        <f>B31-'03_Days'!$B$15</f>
        <v>0.14709297888120965</v>
      </c>
    </row>
    <row r="34" spans="1:2" x14ac:dyDescent="0.35">
      <c r="A34" s="11" t="s">
        <v>287</v>
      </c>
      <c r="B34" s="24">
        <f>-SUM(P17:P20)</f>
        <v>0.34108499999999997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7"/>
  <sheetViews>
    <sheetView workbookViewId="0"/>
  </sheetViews>
  <sheetFormatPr defaultRowHeight="14.5" x14ac:dyDescent="0.35"/>
  <cols>
    <col min="1" max="1" width="44" customWidth="1"/>
    <col min="2" max="3" width="14" customWidth="1"/>
    <col min="4" max="5" width="18" customWidth="1"/>
    <col min="6" max="6" width="16" customWidth="1"/>
  </cols>
  <sheetData>
    <row r="1" spans="1:6" ht="24" customHeight="1" x14ac:dyDescent="0.4">
      <c r="A1" s="1" t="s">
        <v>288</v>
      </c>
      <c r="B1" s="2"/>
      <c r="C1" s="2"/>
      <c r="D1" s="2"/>
      <c r="E1" s="2"/>
      <c r="F1" s="2"/>
    </row>
    <row r="2" spans="1:6" x14ac:dyDescent="0.35">
      <c r="A2" s="3" t="s">
        <v>289</v>
      </c>
    </row>
    <row r="4" spans="1:6" ht="26" x14ac:dyDescent="0.35">
      <c r="A4" s="9" t="s">
        <v>290</v>
      </c>
      <c r="B4" s="10" t="s">
        <v>291</v>
      </c>
      <c r="C4" s="10" t="s">
        <v>292</v>
      </c>
      <c r="D4" s="10" t="s">
        <v>293</v>
      </c>
      <c r="E4" s="10" t="s">
        <v>294</v>
      </c>
      <c r="F4" s="10" t="s">
        <v>295</v>
      </c>
    </row>
    <row r="5" spans="1:6" x14ac:dyDescent="0.35">
      <c r="A5" s="5" t="s">
        <v>101</v>
      </c>
      <c r="B5" s="27">
        <f>SUM('02_Plan'!C51:E51)</f>
        <v>16466.666666666664</v>
      </c>
      <c r="C5" s="12">
        <v>14400</v>
      </c>
      <c r="D5" s="33">
        <f>'02_Plan'!B37</f>
        <v>1061.2670000000001</v>
      </c>
      <c r="E5" s="33">
        <f>'02_Plan'!B37</f>
        <v>1061.2670000000001</v>
      </c>
      <c r="F5" s="33">
        <f>'02_Plan'!B36</f>
        <v>2400</v>
      </c>
    </row>
    <row r="6" spans="1:6" x14ac:dyDescent="0.35">
      <c r="A6" s="5" t="s">
        <v>102</v>
      </c>
      <c r="B6" s="27">
        <f>SUM('02_Plan'!C52:E52)</f>
        <v>19500</v>
      </c>
      <c r="C6" s="12">
        <v>24600</v>
      </c>
      <c r="D6" s="33">
        <f>'02_Plan'!C37</f>
        <v>524.9666666666667</v>
      </c>
      <c r="E6" s="18">
        <v>493.66166666666669</v>
      </c>
      <c r="F6" s="18">
        <v>2212.5</v>
      </c>
    </row>
    <row r="7" spans="1:6" x14ac:dyDescent="0.35">
      <c r="A7" s="5" t="s">
        <v>103</v>
      </c>
      <c r="B7" s="27">
        <f>SUM('02_Plan'!C53:E53)</f>
        <v>10833.333333333332</v>
      </c>
      <c r="C7" s="12">
        <v>11700</v>
      </c>
      <c r="D7" s="33">
        <f>'02_Plan'!D37</f>
        <v>684.4000000000002</v>
      </c>
      <c r="E7" s="33">
        <f>'02_Plan'!D37</f>
        <v>684.4000000000002</v>
      </c>
      <c r="F7" s="33">
        <f>'02_Plan'!D36</f>
        <v>1800</v>
      </c>
    </row>
    <row r="8" spans="1:6" x14ac:dyDescent="0.35">
      <c r="A8" s="11" t="s">
        <v>296</v>
      </c>
      <c r="B8" s="32">
        <f>SUM(B5:B7)</f>
        <v>46800</v>
      </c>
      <c r="C8" s="32">
        <f>SUM(C5:C7)</f>
        <v>50700</v>
      </c>
    </row>
    <row r="10" spans="1:6" x14ac:dyDescent="0.35">
      <c r="A10" s="5" t="s">
        <v>297</v>
      </c>
      <c r="B10" s="16">
        <v>1.3694999999999999</v>
      </c>
    </row>
    <row r="11" spans="1:6" x14ac:dyDescent="0.35">
      <c r="A11" s="5" t="s">
        <v>76</v>
      </c>
      <c r="B11" s="16">
        <v>0.2</v>
      </c>
    </row>
    <row r="12" spans="1:6" x14ac:dyDescent="0.35">
      <c r="A12" s="5" t="s">
        <v>298</v>
      </c>
      <c r="B12" s="25">
        <v>0.14499999999999999</v>
      </c>
    </row>
    <row r="13" spans="1:6" x14ac:dyDescent="0.35">
      <c r="A13" s="5" t="s">
        <v>299</v>
      </c>
      <c r="B13" s="25">
        <v>0.08</v>
      </c>
    </row>
    <row r="15" spans="1:6" x14ac:dyDescent="0.35">
      <c r="A15" s="5" t="s">
        <v>300</v>
      </c>
      <c r="B15" s="20">
        <f>SUMPRODUCT(B5:B7,D5:D7)/10000000</f>
        <v>3.5126713266666667</v>
      </c>
    </row>
    <row r="16" spans="1:6" x14ac:dyDescent="0.35">
      <c r="A16" s="5" t="s">
        <v>301</v>
      </c>
      <c r="B16" s="20">
        <f>SUMPRODUCT(C5:C7,E5:E7)/10000000</f>
        <v>3.5433801800000007</v>
      </c>
    </row>
    <row r="17" spans="1:2" x14ac:dyDescent="0.35">
      <c r="A17" s="5" t="s">
        <v>302</v>
      </c>
      <c r="B17" s="20">
        <f>(C8-B8)*(B15*10000000/B8)/10000000</f>
        <v>0.29272261055555554</v>
      </c>
    </row>
    <row r="18" spans="1:2" x14ac:dyDescent="0.35">
      <c r="A18" s="11" t="s">
        <v>303</v>
      </c>
      <c r="B18" s="24">
        <f>SUMPRODUCT(C5:C7-C8*B5:B7/B8,D5:D7)/10000000</f>
        <v>-0.18500345722222178</v>
      </c>
    </row>
    <row r="19" spans="1:2" x14ac:dyDescent="0.35">
      <c r="A19" s="5" t="s">
        <v>304</v>
      </c>
      <c r="B19" s="20">
        <f>SUMPRODUCT(C5:C7,E5:E7-D5:D7)/10000000</f>
        <v>-7.7010300000000018E-2</v>
      </c>
    </row>
    <row r="20" spans="1:2" x14ac:dyDescent="0.35">
      <c r="A20" s="5" t="s">
        <v>305</v>
      </c>
      <c r="B20" s="20">
        <f>SUM('02_Plan'!C58:E58)</f>
        <v>2.2725</v>
      </c>
    </row>
    <row r="21" spans="1:2" x14ac:dyDescent="0.35">
      <c r="A21" s="5" t="s">
        <v>306</v>
      </c>
      <c r="B21" s="20">
        <f>B10+B11+C6*F6/10000000*B12+C7*F7/10000000*B13</f>
        <v>2.52717875</v>
      </c>
    </row>
    <row r="22" spans="1:2" x14ac:dyDescent="0.35">
      <c r="A22" s="5" t="s">
        <v>307</v>
      </c>
      <c r="B22" s="20">
        <f>B20-B21</f>
        <v>-0.25467875000000006</v>
      </c>
    </row>
    <row r="23" spans="1:2" x14ac:dyDescent="0.35">
      <c r="A23" s="5" t="s">
        <v>308</v>
      </c>
      <c r="B23" s="20">
        <f>B15-B20</f>
        <v>1.2401713266666667</v>
      </c>
    </row>
    <row r="24" spans="1:2" x14ac:dyDescent="0.35">
      <c r="A24" s="5" t="s">
        <v>309</v>
      </c>
      <c r="B24" s="20">
        <f>B16-B21</f>
        <v>1.0162014300000006</v>
      </c>
    </row>
    <row r="25" spans="1:2" x14ac:dyDescent="0.35">
      <c r="A25" s="11" t="s">
        <v>310</v>
      </c>
      <c r="B25" s="24">
        <f>B24-B23</f>
        <v>-0.22396989666666611</v>
      </c>
    </row>
    <row r="26" spans="1:2" x14ac:dyDescent="0.35">
      <c r="A26" s="5" t="s">
        <v>311</v>
      </c>
      <c r="B26" s="20">
        <f>ROUND(B17+B18+B19+B22-B25,9)</f>
        <v>0</v>
      </c>
    </row>
    <row r="27" spans="1:2" x14ac:dyDescent="0.35">
      <c r="A27" s="5" t="s">
        <v>312</v>
      </c>
      <c r="B27" s="20">
        <f>(C5*F5+C6*F6+C7*F7)/10000000-SUM('02_Plan'!C54:E54)</f>
        <v>0.71524999999999928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3"/>
  <sheetViews>
    <sheetView workbookViewId="0">
      <pane ySplit="11" topLeftCell="A12" activePane="bottomLeft" state="frozen"/>
      <selection pane="bottomLeft"/>
    </sheetView>
  </sheetViews>
  <sheetFormatPr defaultRowHeight="14.5" x14ac:dyDescent="0.35"/>
  <cols>
    <col min="1" max="1" width="40" customWidth="1"/>
    <col min="2" max="3" width="12" customWidth="1"/>
    <col min="4" max="4" width="14" customWidth="1"/>
    <col min="5" max="5" width="12" customWidth="1"/>
    <col min="6" max="6" width="14" customWidth="1"/>
    <col min="7" max="7" width="16" customWidth="1"/>
    <col min="8" max="8" width="12" customWidth="1"/>
    <col min="9" max="9" width="14" customWidth="1"/>
  </cols>
  <sheetData>
    <row r="1" spans="1:9" ht="24" customHeight="1" x14ac:dyDescent="0.4">
      <c r="A1" s="1" t="s">
        <v>313</v>
      </c>
      <c r="B1" s="2"/>
      <c r="C1" s="2"/>
      <c r="D1" s="2"/>
      <c r="E1" s="2"/>
      <c r="F1" s="2"/>
      <c r="G1" s="2"/>
      <c r="H1" s="2"/>
    </row>
    <row r="2" spans="1:9" x14ac:dyDescent="0.35">
      <c r="A2" s="3" t="s">
        <v>314</v>
      </c>
    </row>
    <row r="4" spans="1:9" x14ac:dyDescent="0.35">
      <c r="A4" s="5" t="s">
        <v>315</v>
      </c>
      <c r="B4" s="25">
        <v>0.25</v>
      </c>
    </row>
    <row r="5" spans="1:9" x14ac:dyDescent="0.35">
      <c r="A5" s="5" t="s">
        <v>316</v>
      </c>
      <c r="B5" s="16">
        <v>5</v>
      </c>
    </row>
    <row r="6" spans="1:9" x14ac:dyDescent="0.35">
      <c r="A6" s="5" t="s">
        <v>317</v>
      </c>
      <c r="B6" s="15">
        <v>0.8</v>
      </c>
    </row>
    <row r="7" spans="1:9" x14ac:dyDescent="0.35">
      <c r="A7" s="5" t="s">
        <v>318</v>
      </c>
      <c r="B7" s="28">
        <f>'02_Plan'!N69+'02_Plan'!N71-'02_Plan'!N70</f>
        <v>5.0880961825000011</v>
      </c>
    </row>
    <row r="8" spans="1:9" x14ac:dyDescent="0.35">
      <c r="A8" s="11" t="s">
        <v>319</v>
      </c>
      <c r="B8" s="32">
        <f>IF(COUNT(H12:H83)=0,"beyond 72",MIN(H12:H83))</f>
        <v>31</v>
      </c>
    </row>
    <row r="9" spans="1:9" x14ac:dyDescent="0.35">
      <c r="A9" s="11" t="s">
        <v>320</v>
      </c>
      <c r="B9" s="32">
        <f>IF(COUNT(I12:I83)=0,"beyond 72",MIN(I12:I83))</f>
        <v>44</v>
      </c>
    </row>
    <row r="11" spans="1:9" ht="39" x14ac:dyDescent="0.35">
      <c r="A11" s="9" t="s">
        <v>232</v>
      </c>
      <c r="B11" s="10" t="s">
        <v>321</v>
      </c>
      <c r="C11" s="10" t="s">
        <v>143</v>
      </c>
      <c r="D11" s="10" t="s">
        <v>322</v>
      </c>
      <c r="E11" s="10" t="s">
        <v>152</v>
      </c>
      <c r="F11" s="10" t="s">
        <v>323</v>
      </c>
      <c r="G11" s="10" t="s">
        <v>324</v>
      </c>
      <c r="H11" s="10" t="s">
        <v>325</v>
      </c>
      <c r="I11" s="10" t="s">
        <v>326</v>
      </c>
    </row>
    <row r="12" spans="1:9" x14ac:dyDescent="0.35">
      <c r="A12" s="14">
        <v>1</v>
      </c>
      <c r="B12" s="23">
        <f t="shared" ref="B12:B43" si="0">MOD(A12-1,12)+1</f>
        <v>1</v>
      </c>
      <c r="C12" s="28">
        <f>INDEX('02_Plan'!$C$65:$N$65,B12)</f>
        <v>-0.41475168166666665</v>
      </c>
      <c r="D12" s="28">
        <f>INDEX('02_Plan'!$C$69:$N$69,B12)+INDEX('02_Plan'!$C$71:$N$71,B12)-INDEX('02_Plan'!$C$70:$N$70,B12)</f>
        <v>4.1312609694512172</v>
      </c>
      <c r="E12" s="28">
        <f>INDEX('02_Plan'!$C$74:$N$74,B12)</f>
        <v>-0.8760126511178854</v>
      </c>
      <c r="F12" s="20">
        <f>'02_Plan'!$B$27+E12</f>
        <v>31.713987348882132</v>
      </c>
      <c r="G12" s="20">
        <f>'02_Plan'!$B$27+C12</f>
        <v>32.175248318333352</v>
      </c>
      <c r="H12" s="23" t="str">
        <f t="shared" ref="H12:H43" si="1">IF(F12&lt;$B$5,A12,"")</f>
        <v/>
      </c>
      <c r="I12" s="23" t="str">
        <f t="shared" ref="I12:I43" si="2">IF(G12&lt;$B$5,A12,"")</f>
        <v/>
      </c>
    </row>
    <row r="13" spans="1:9" x14ac:dyDescent="0.35">
      <c r="A13" s="14">
        <v>2</v>
      </c>
      <c r="B13" s="23">
        <f t="shared" si="0"/>
        <v>2</v>
      </c>
      <c r="C13" s="28">
        <f>INDEX('02_Plan'!$C$65:$N$65,B13)</f>
        <v>-0.45225168166666663</v>
      </c>
      <c r="D13" s="28">
        <f>INDEX('02_Plan'!$C$69:$N$69,B13)+INDEX('02_Plan'!$C$71:$N$71,B13)-INDEX('02_Plan'!$C$70:$N$70,B13)</f>
        <v>4.4274738474999982</v>
      </c>
      <c r="E13" s="28">
        <f>INDEX('02_Plan'!$C$74:$N$74,B13)</f>
        <v>-1.4028446229710365</v>
      </c>
      <c r="F13" s="20">
        <f t="shared" ref="F13:F44" si="3">F12+E13</f>
        <v>30.311142725911097</v>
      </c>
      <c r="G13" s="20">
        <f t="shared" ref="G13:G44" si="4">G12+C13</f>
        <v>31.722996636666686</v>
      </c>
      <c r="H13" s="23" t="str">
        <f t="shared" si="1"/>
        <v/>
      </c>
      <c r="I13" s="23" t="str">
        <f t="shared" si="2"/>
        <v/>
      </c>
    </row>
    <row r="14" spans="1:9" x14ac:dyDescent="0.35">
      <c r="A14" s="14">
        <v>3</v>
      </c>
      <c r="B14" s="23">
        <f t="shared" si="0"/>
        <v>3</v>
      </c>
      <c r="C14" s="28">
        <f>INDEX('02_Plan'!$C$65:$N$65,B14)</f>
        <v>-0.46157530999999974</v>
      </c>
      <c r="D14" s="28">
        <f>INDEX('02_Plan'!$C$69:$N$69,B14)+INDEX('02_Plan'!$C$71:$N$71,B14)-INDEX('02_Plan'!$C$70:$N$70,B14)</f>
        <v>5.1198419038888883</v>
      </c>
      <c r="E14" s="28">
        <f>INDEX('02_Plan'!$C$74:$N$74,B14)</f>
        <v>-1.0153376527593343</v>
      </c>
      <c r="F14" s="20">
        <f t="shared" si="3"/>
        <v>29.295805073151762</v>
      </c>
      <c r="G14" s="20">
        <f t="shared" si="4"/>
        <v>31.261421326666685</v>
      </c>
      <c r="H14" s="23" t="str">
        <f t="shared" si="1"/>
        <v/>
      </c>
      <c r="I14" s="23" t="str">
        <f t="shared" si="2"/>
        <v/>
      </c>
    </row>
    <row r="15" spans="1:9" x14ac:dyDescent="0.35">
      <c r="A15" s="14">
        <v>4</v>
      </c>
      <c r="B15" s="23">
        <f t="shared" si="0"/>
        <v>4</v>
      </c>
      <c r="C15" s="28">
        <f>INDEX('02_Plan'!$C$65:$N$65,B15)</f>
        <v>-0.49907530999999972</v>
      </c>
      <c r="D15" s="28">
        <f>INDEX('02_Plan'!$C$69:$N$69,B15)+INDEX('02_Plan'!$C$71:$N$71,B15)-INDEX('02_Plan'!$C$70:$N$70,B15)</f>
        <v>5.3020081261111116</v>
      </c>
      <c r="E15" s="28">
        <f>INDEX('02_Plan'!$C$74:$N$74,B15)</f>
        <v>-0.54771250685646333</v>
      </c>
      <c r="F15" s="20">
        <f t="shared" si="3"/>
        <v>28.748092566295298</v>
      </c>
      <c r="G15" s="20">
        <f t="shared" si="4"/>
        <v>30.762346016666687</v>
      </c>
      <c r="H15" s="23" t="str">
        <f t="shared" si="1"/>
        <v/>
      </c>
      <c r="I15" s="23" t="str">
        <f t="shared" si="2"/>
        <v/>
      </c>
    </row>
    <row r="16" spans="1:9" x14ac:dyDescent="0.35">
      <c r="A16" s="14">
        <v>5</v>
      </c>
      <c r="B16" s="23">
        <f t="shared" si="0"/>
        <v>5</v>
      </c>
      <c r="C16" s="28">
        <f>INDEX('02_Plan'!$C$65:$N$65,B16)</f>
        <v>-0.50839893833333294</v>
      </c>
      <c r="D16" s="28">
        <f>INDEX('02_Plan'!$C$69:$N$69,B16)+INDEX('02_Plan'!$C$71:$N$71,B16)-INDEX('02_Plan'!$C$70:$N$70,B16)</f>
        <v>5.753860626944447</v>
      </c>
      <c r="E16" s="28">
        <f>INDEX('02_Plan'!$C$74:$N$74,B16)</f>
        <v>-0.82946097633519145</v>
      </c>
      <c r="F16" s="20">
        <f t="shared" si="3"/>
        <v>27.918631589960107</v>
      </c>
      <c r="G16" s="20">
        <f t="shared" si="4"/>
        <v>30.253947078333354</v>
      </c>
      <c r="H16" s="23" t="str">
        <f t="shared" si="1"/>
        <v/>
      </c>
      <c r="I16" s="23" t="str">
        <f t="shared" si="2"/>
        <v/>
      </c>
    </row>
    <row r="17" spans="1:9" x14ac:dyDescent="0.35">
      <c r="A17" s="14">
        <v>6</v>
      </c>
      <c r="B17" s="23">
        <f t="shared" si="0"/>
        <v>6</v>
      </c>
      <c r="C17" s="28">
        <f>INDEX('02_Plan'!$C$65:$N$65,B17)</f>
        <v>-0.48954619499999985</v>
      </c>
      <c r="D17" s="28">
        <f>INDEX('02_Plan'!$C$69:$N$69,B17)+INDEX('02_Plan'!$C$71:$N$71,B17)-INDEX('02_Plan'!$C$70:$N$70,B17)</f>
        <v>6.5619896286111121</v>
      </c>
      <c r="E17" s="28">
        <f>INDEX('02_Plan'!$C$74:$N$74,B17)</f>
        <v>-1.1710320387168656</v>
      </c>
      <c r="F17" s="20">
        <f t="shared" si="3"/>
        <v>26.747599551243241</v>
      </c>
      <c r="G17" s="20">
        <f t="shared" si="4"/>
        <v>29.764400883333355</v>
      </c>
      <c r="H17" s="23" t="str">
        <f t="shared" si="1"/>
        <v/>
      </c>
      <c r="I17" s="23" t="str">
        <f t="shared" si="2"/>
        <v/>
      </c>
    </row>
    <row r="18" spans="1:9" x14ac:dyDescent="0.35">
      <c r="A18" s="14">
        <v>7</v>
      </c>
      <c r="B18" s="23">
        <f t="shared" si="0"/>
        <v>7</v>
      </c>
      <c r="C18" s="28">
        <f>INDEX('02_Plan'!$C$65:$N$65,B18)</f>
        <v>-1.2225170799999998</v>
      </c>
      <c r="D18" s="28">
        <f>INDEX('02_Plan'!$C$69:$N$69,B18)+INDEX('02_Plan'!$C$71:$N$71,B18)-INDEX('02_Plan'!$C$70:$N$70,B18)</f>
        <v>7.2321773533333324</v>
      </c>
      <c r="E18" s="28">
        <f>INDEX('02_Plan'!$C$74:$N$74,B18)</f>
        <v>-2.1719168069660029</v>
      </c>
      <c r="F18" s="20">
        <f t="shared" si="3"/>
        <v>24.575682744277238</v>
      </c>
      <c r="G18" s="20">
        <f t="shared" si="4"/>
        <v>28.541883803333356</v>
      </c>
      <c r="H18" s="23" t="str">
        <f t="shared" si="1"/>
        <v/>
      </c>
      <c r="I18" s="23" t="str">
        <f t="shared" si="2"/>
        <v/>
      </c>
    </row>
    <row r="19" spans="1:9" x14ac:dyDescent="0.35">
      <c r="A19" s="14">
        <v>8</v>
      </c>
      <c r="B19" s="23">
        <f t="shared" si="0"/>
        <v>8</v>
      </c>
      <c r="C19" s="28">
        <f>INDEX('02_Plan'!$C$65:$N$65,B19)</f>
        <v>-1.0909588499999998</v>
      </c>
      <c r="D19" s="28">
        <f>INDEX('02_Plan'!$C$69:$N$69,B19)+INDEX('02_Plan'!$C$71:$N$71,B19)-INDEX('02_Plan'!$C$70:$N$70,B19)</f>
        <v>7.018013247222223</v>
      </c>
      <c r="E19" s="28">
        <f>INDEX('02_Plan'!$C$74:$N$74,B19)</f>
        <v>-0.76686633016750372</v>
      </c>
      <c r="F19" s="20">
        <f t="shared" si="3"/>
        <v>23.808816414109735</v>
      </c>
      <c r="G19" s="20">
        <f t="shared" si="4"/>
        <v>27.450924953333356</v>
      </c>
      <c r="H19" s="23" t="str">
        <f t="shared" si="1"/>
        <v/>
      </c>
      <c r="I19" s="23" t="str">
        <f t="shared" si="2"/>
        <v/>
      </c>
    </row>
    <row r="20" spans="1:9" x14ac:dyDescent="0.35">
      <c r="A20" s="14">
        <v>9</v>
      </c>
      <c r="B20" s="23">
        <f t="shared" si="0"/>
        <v>9</v>
      </c>
      <c r="C20" s="28">
        <f>INDEX('02_Plan'!$C$65:$N$65,B20)</f>
        <v>-0.63022256666666632</v>
      </c>
      <c r="D20" s="28">
        <f>INDEX('02_Plan'!$C$69:$N$69,B20)+INDEX('02_Plan'!$C$71:$N$71,B20)-INDEX('02_Plan'!$C$70:$N$70,B20)</f>
        <v>5.5448500166666674</v>
      </c>
      <c r="E20" s="28">
        <f>INDEX('02_Plan'!$C$74:$N$74,B20)</f>
        <v>0.9490347459594366</v>
      </c>
      <c r="F20" s="20">
        <f t="shared" si="3"/>
        <v>24.757851160069173</v>
      </c>
      <c r="G20" s="20">
        <f t="shared" si="4"/>
        <v>26.820702386666689</v>
      </c>
      <c r="H20" s="23" t="str">
        <f t="shared" si="1"/>
        <v/>
      </c>
      <c r="I20" s="23" t="str">
        <f t="shared" si="2"/>
        <v/>
      </c>
    </row>
    <row r="21" spans="1:9" x14ac:dyDescent="0.35">
      <c r="A21" s="14">
        <v>10</v>
      </c>
      <c r="B21" s="23">
        <f t="shared" si="0"/>
        <v>10</v>
      </c>
      <c r="C21" s="28">
        <f>INDEX('02_Plan'!$C$65:$N$65,B21)</f>
        <v>-0.69589893833333294</v>
      </c>
      <c r="D21" s="28">
        <f>INDEX('02_Plan'!$C$69:$N$69,B21)+INDEX('02_Plan'!$C$71:$N$71,B21)-INDEX('02_Plan'!$C$70:$N$70,B21)</f>
        <v>5.2767975158333336</v>
      </c>
      <c r="E21" s="28">
        <f>INDEX('02_Plan'!$C$74:$N$74,B21)</f>
        <v>-0.31700718169965364</v>
      </c>
      <c r="F21" s="20">
        <f t="shared" si="3"/>
        <v>24.440843978369518</v>
      </c>
      <c r="G21" s="20">
        <f t="shared" si="4"/>
        <v>26.124803448333356</v>
      </c>
      <c r="H21" s="23" t="str">
        <f t="shared" si="1"/>
        <v/>
      </c>
      <c r="I21" s="23" t="str">
        <f t="shared" si="2"/>
        <v/>
      </c>
    </row>
    <row r="22" spans="1:9" x14ac:dyDescent="0.35">
      <c r="A22" s="14">
        <v>11</v>
      </c>
      <c r="B22" s="23">
        <f t="shared" si="0"/>
        <v>11</v>
      </c>
      <c r="C22" s="28">
        <f>INDEX('02_Plan'!$C$65:$N$65,B22)</f>
        <v>-0.76157530999999978</v>
      </c>
      <c r="D22" s="28">
        <f>INDEX('02_Plan'!$C$69:$N$69,B22)+INDEX('02_Plan'!$C$71:$N$71,B22)-INDEX('02_Plan'!$C$70:$N$70,B22)</f>
        <v>5.1615032372222229</v>
      </c>
      <c r="E22" s="28">
        <f>INDEX('02_Plan'!$C$74:$N$74,B22)</f>
        <v>-0.53702681149704112</v>
      </c>
      <c r="F22" s="20">
        <f t="shared" si="3"/>
        <v>23.903817166872479</v>
      </c>
      <c r="G22" s="20">
        <f t="shared" si="4"/>
        <v>25.363228138333355</v>
      </c>
      <c r="H22" s="23" t="str">
        <f t="shared" si="1"/>
        <v/>
      </c>
      <c r="I22" s="23" t="str">
        <f t="shared" si="2"/>
        <v/>
      </c>
    </row>
    <row r="23" spans="1:9" x14ac:dyDescent="0.35">
      <c r="A23" s="14">
        <v>12</v>
      </c>
      <c r="B23" s="23">
        <f t="shared" si="0"/>
        <v>12</v>
      </c>
      <c r="C23" s="28">
        <f>INDEX('02_Plan'!$C$65:$N$65,B23)</f>
        <v>-0.77089893833333289</v>
      </c>
      <c r="D23" s="28">
        <f>INDEX('02_Plan'!$C$69:$N$69,B23)+INDEX('02_Plan'!$C$71:$N$71,B23)-INDEX('02_Plan'!$C$70:$N$70,B23)</f>
        <v>5.0880961825000011</v>
      </c>
      <c r="E23" s="28">
        <f>INDEX('02_Plan'!$C$74:$N$74,B23)</f>
        <v>-0.59092279777674817</v>
      </c>
      <c r="F23" s="20">
        <f t="shared" si="3"/>
        <v>23.31289436909573</v>
      </c>
      <c r="G23" s="20">
        <f t="shared" si="4"/>
        <v>24.592329200000023</v>
      </c>
      <c r="H23" s="23" t="str">
        <f t="shared" si="1"/>
        <v/>
      </c>
      <c r="I23" s="23" t="str">
        <f t="shared" si="2"/>
        <v/>
      </c>
    </row>
    <row r="24" spans="1:9" x14ac:dyDescent="0.35">
      <c r="A24" s="14">
        <v>13</v>
      </c>
      <c r="B24" s="23">
        <f t="shared" si="0"/>
        <v>1</v>
      </c>
      <c r="C24" s="20">
        <f>INDEX('02_Plan'!$C$59:$N$59,B24)*(1+$B$4)^INT((A24-1)/12)-INDEX('02_Plan'!$C$60:$N$60,B24)-'02_Plan'!$N$63-'02_Plan'!$N$64</f>
        <v>-0.72625210208333313</v>
      </c>
      <c r="D24" s="20">
        <f>(INDEX('02_Plan'!$C$69:$N$69,B24)+INDEX('02_Plan'!$C$71:$N$71,B24)-INDEX('02_Plan'!$C$70:$N$70,B24))*(1+$B$4)^INT((A24-1)/12)</f>
        <v>5.164076211814022</v>
      </c>
      <c r="E24" s="20">
        <f>C24-(D24-$B$7)-$B$6/12+MAX(0,F23-'02_Plan'!$B$26)*'02_Plan'!$B$25/12</f>
        <v>-0.76528432621854203</v>
      </c>
      <c r="F24" s="20">
        <f t="shared" si="3"/>
        <v>22.547610042877189</v>
      </c>
      <c r="G24" s="20">
        <f t="shared" si="4"/>
        <v>23.866077097916691</v>
      </c>
      <c r="H24" s="23" t="str">
        <f t="shared" si="1"/>
        <v/>
      </c>
      <c r="I24" s="23" t="str">
        <f t="shared" si="2"/>
        <v/>
      </c>
    </row>
    <row r="25" spans="1:9" x14ac:dyDescent="0.35">
      <c r="A25" s="14">
        <v>14</v>
      </c>
      <c r="B25" s="23">
        <f t="shared" si="0"/>
        <v>2</v>
      </c>
      <c r="C25" s="20">
        <f>INDEX('02_Plan'!$C$59:$N$59,B25)*(1+$B$4)^INT((A25-1)/12)-INDEX('02_Plan'!$C$60:$N$60,B25)-'02_Plan'!$N$63-'02_Plan'!$N$64</f>
        <v>-0.72625210208333313</v>
      </c>
      <c r="D25" s="20">
        <f>(INDEX('02_Plan'!$C$69:$N$69,B25)+INDEX('02_Plan'!$C$71:$N$71,B25)-INDEX('02_Plan'!$C$70:$N$70,B25))*(1+$B$4)^INT((A25-1)/12)</f>
        <v>5.5343423093749973</v>
      </c>
      <c r="E25" s="20">
        <f>C25-(D25-D24)-$B$6/12+MAX(0,F24-'02_Plan'!$B$26)*'02_Plan'!$B$25/12</f>
        <v>-1.063396816096589</v>
      </c>
      <c r="F25" s="20">
        <f t="shared" si="3"/>
        <v>21.4842132267806</v>
      </c>
      <c r="G25" s="20">
        <f t="shared" si="4"/>
        <v>23.139824995833358</v>
      </c>
      <c r="H25" s="23" t="str">
        <f t="shared" si="1"/>
        <v/>
      </c>
      <c r="I25" s="23" t="str">
        <f t="shared" si="2"/>
        <v/>
      </c>
    </row>
    <row r="26" spans="1:9" x14ac:dyDescent="0.35">
      <c r="A26" s="14">
        <v>15</v>
      </c>
      <c r="B26" s="23">
        <f t="shared" si="0"/>
        <v>3</v>
      </c>
      <c r="C26" s="20">
        <f>INDEX('02_Plan'!$C$59:$N$59,B26)*(1+$B$4)^INT((A26-1)/12)-INDEX('02_Plan'!$C$60:$N$60,B26)-'02_Plan'!$N$63-'02_Plan'!$N$64</f>
        <v>-0.69103163749999963</v>
      </c>
      <c r="D26" s="20">
        <f>(INDEX('02_Plan'!$C$69:$N$69,B26)+INDEX('02_Plan'!$C$71:$N$71,B26)-INDEX('02_Plan'!$C$70:$N$70,B26))*(1+$B$4)^INT((A26-1)/12)</f>
        <v>6.3998023798611108</v>
      </c>
      <c r="E26" s="20">
        <f>C26-(D26-D25)-$B$6/12+MAX(0,F25-'02_Plan'!$B$26)*'02_Plan'!$B$25/12</f>
        <v>-1.5286873085188768</v>
      </c>
      <c r="F26" s="20">
        <f t="shared" si="3"/>
        <v>19.955525918261724</v>
      </c>
      <c r="G26" s="20">
        <f t="shared" si="4"/>
        <v>22.448793358333358</v>
      </c>
      <c r="H26" s="23" t="str">
        <f t="shared" si="1"/>
        <v/>
      </c>
      <c r="I26" s="23" t="str">
        <f t="shared" si="2"/>
        <v/>
      </c>
    </row>
    <row r="27" spans="1:9" x14ac:dyDescent="0.35">
      <c r="A27" s="14">
        <v>16</v>
      </c>
      <c r="B27" s="23">
        <f t="shared" si="0"/>
        <v>4</v>
      </c>
      <c r="C27" s="20">
        <f>INDEX('02_Plan'!$C$59:$N$59,B27)*(1+$B$4)^INT((A27-1)/12)-INDEX('02_Plan'!$C$60:$N$60,B27)-'02_Plan'!$N$63-'02_Plan'!$N$64</f>
        <v>-0.69103163749999963</v>
      </c>
      <c r="D27" s="20">
        <f>(INDEX('02_Plan'!$C$69:$N$69,B27)+INDEX('02_Plan'!$C$71:$N$71,B27)-INDEX('02_Plan'!$C$70:$N$70,B27))*(1+$B$4)^INT((A27-1)/12)</f>
        <v>6.6275101576388895</v>
      </c>
      <c r="E27" s="20">
        <f>C27-(D27-D26)-$B$6/12+MAX(0,F26-'02_Plan'!$B$26)*'02_Plan'!$B$25/12</f>
        <v>-0.89857845235313638</v>
      </c>
      <c r="F27" s="20">
        <f t="shared" si="3"/>
        <v>19.056947465908589</v>
      </c>
      <c r="G27" s="20">
        <f t="shared" si="4"/>
        <v>21.757761720833358</v>
      </c>
      <c r="H27" s="23" t="str">
        <f t="shared" si="1"/>
        <v/>
      </c>
      <c r="I27" s="23" t="str">
        <f t="shared" si="2"/>
        <v/>
      </c>
    </row>
    <row r="28" spans="1:9" x14ac:dyDescent="0.35">
      <c r="A28" s="14">
        <v>17</v>
      </c>
      <c r="B28" s="23">
        <f t="shared" si="0"/>
        <v>5</v>
      </c>
      <c r="C28" s="20">
        <f>INDEX('02_Plan'!$C$59:$N$59,B28)*(1+$B$4)^INT((A28-1)/12)-INDEX('02_Plan'!$C$60:$N$60,B28)-'02_Plan'!$N$63-'02_Plan'!$N$64</f>
        <v>-0.65581117291666613</v>
      </c>
      <c r="D28" s="20">
        <f>(INDEX('02_Plan'!$C$69:$N$69,B28)+INDEX('02_Plan'!$C$71:$N$71,B28)-INDEX('02_Plan'!$C$70:$N$70,B28))*(1+$B$4)^INT((A28-1)/12)</f>
        <v>7.192325783680559</v>
      </c>
      <c r="E28" s="20">
        <f>C28-(D28-D27)-$B$6/12+MAX(0,F27-'02_Plan'!$B$26)*'02_Plan'!$B$25/12</f>
        <v>-1.2049587282954595</v>
      </c>
      <c r="F28" s="20">
        <f t="shared" si="3"/>
        <v>17.85198873761313</v>
      </c>
      <c r="G28" s="20">
        <f t="shared" si="4"/>
        <v>21.10195054791669</v>
      </c>
      <c r="H28" s="23" t="str">
        <f t="shared" si="1"/>
        <v/>
      </c>
      <c r="I28" s="23" t="str">
        <f t="shared" si="2"/>
        <v/>
      </c>
    </row>
    <row r="29" spans="1:9" x14ac:dyDescent="0.35">
      <c r="A29" s="14">
        <v>18</v>
      </c>
      <c r="B29" s="23">
        <f t="shared" si="0"/>
        <v>6</v>
      </c>
      <c r="C29" s="20">
        <f>INDEX('02_Plan'!$C$59:$N$59,B29)*(1+$B$4)^INT((A29-1)/12)-INDEX('02_Plan'!$C$60:$N$60,B29)-'02_Plan'!$N$63-'02_Plan'!$N$64</f>
        <v>-0.58537024374999969</v>
      </c>
      <c r="D29" s="20">
        <f>(INDEX('02_Plan'!$C$69:$N$69,B29)+INDEX('02_Plan'!$C$71:$N$71,B29)-INDEX('02_Plan'!$C$70:$N$70,B29))*(1+$B$4)^INT((A29-1)/12)</f>
        <v>8.202487035763891</v>
      </c>
      <c r="E29" s="20">
        <f>C29-(D29-D28)-$B$6/12+MAX(0,F28-'02_Plan'!$B$26)*'02_Plan'!$B$25/12</f>
        <v>-1.5858882188119328</v>
      </c>
      <c r="F29" s="20">
        <f t="shared" si="3"/>
        <v>16.266100518801196</v>
      </c>
      <c r="G29" s="20">
        <f t="shared" si="4"/>
        <v>20.516580304166691</v>
      </c>
      <c r="H29" s="23" t="str">
        <f t="shared" si="1"/>
        <v/>
      </c>
      <c r="I29" s="23" t="str">
        <f t="shared" si="2"/>
        <v/>
      </c>
    </row>
    <row r="30" spans="1:9" x14ac:dyDescent="0.35">
      <c r="A30" s="14">
        <v>19</v>
      </c>
      <c r="B30" s="23">
        <f t="shared" si="0"/>
        <v>7</v>
      </c>
      <c r="C30" s="20">
        <f>INDEX('02_Plan'!$C$59:$N$59,B30)*(1+$B$4)^INT((A30-1)/12)-INDEX('02_Plan'!$C$60:$N$60,B30)-'02_Plan'!$N$63-'02_Plan'!$N$64</f>
        <v>-1.2597088499999998</v>
      </c>
      <c r="D30" s="20">
        <f>(INDEX('02_Plan'!$C$69:$N$69,B30)+INDEX('02_Plan'!$C$71:$N$71,B30)-INDEX('02_Plan'!$C$70:$N$70,B30))*(1+$B$4)^INT((A30-1)/12)</f>
        <v>9.040221691666666</v>
      </c>
      <c r="E30" s="20">
        <f>C30-(D30-D29)-$B$6/12+MAX(0,F29-'02_Plan'!$B$26)*'02_Plan'!$B$25/12</f>
        <v>-2.095729669975436</v>
      </c>
      <c r="F30" s="20">
        <f t="shared" si="3"/>
        <v>14.17037084882576</v>
      </c>
      <c r="G30" s="20">
        <f t="shared" si="4"/>
        <v>19.256871454166692</v>
      </c>
      <c r="H30" s="23" t="str">
        <f t="shared" si="1"/>
        <v/>
      </c>
      <c r="I30" s="23" t="str">
        <f t="shared" si="2"/>
        <v/>
      </c>
    </row>
    <row r="31" spans="1:9" x14ac:dyDescent="0.35">
      <c r="A31" s="14">
        <v>20</v>
      </c>
      <c r="B31" s="23">
        <f t="shared" si="0"/>
        <v>8</v>
      </c>
      <c r="C31" s="20">
        <f>INDEX('02_Plan'!$C$59:$N$59,B31)*(1+$B$4)^INT((A31-1)/12)-INDEX('02_Plan'!$C$60:$N$60,B31)-'02_Plan'!$N$63-'02_Plan'!$N$64</f>
        <v>-1.0483860624999997</v>
      </c>
      <c r="D31" s="20">
        <f>(INDEX('02_Plan'!$C$69:$N$69,B31)+INDEX('02_Plan'!$C$71:$N$71,B31)-INDEX('02_Plan'!$C$70:$N$70,B31))*(1+$B$4)^INT((A31-1)/12)</f>
        <v>8.7725165590277783</v>
      </c>
      <c r="E31" s="20">
        <f>C31-(D31-D30)-$B$6/12+MAX(0,F30-'02_Plan'!$B$26)*'02_Plan'!$B$25/12</f>
        <v>-0.78944574228364983</v>
      </c>
      <c r="F31" s="20">
        <f t="shared" si="3"/>
        <v>13.38092510654211</v>
      </c>
      <c r="G31" s="20">
        <f t="shared" si="4"/>
        <v>18.208485391666692</v>
      </c>
      <c r="H31" s="23" t="str">
        <f t="shared" si="1"/>
        <v/>
      </c>
      <c r="I31" s="23" t="str">
        <f t="shared" si="2"/>
        <v/>
      </c>
    </row>
    <row r="32" spans="1:9" x14ac:dyDescent="0.35">
      <c r="A32" s="14">
        <v>21</v>
      </c>
      <c r="B32" s="23">
        <f t="shared" si="0"/>
        <v>9</v>
      </c>
      <c r="C32" s="20">
        <f>INDEX('02_Plan'!$C$59:$N$59,B32)*(1+$B$4)^INT((A32-1)/12)-INDEX('02_Plan'!$C$60:$N$60,B32)-'02_Plan'!$N$63-'02_Plan'!$N$64</f>
        <v>-0.62059070833333285</v>
      </c>
      <c r="D32" s="20">
        <f>(INDEX('02_Plan'!$C$69:$N$69,B32)+INDEX('02_Plan'!$C$71:$N$71,B32)-INDEX('02_Plan'!$C$70:$N$70,B32))*(1+$B$4)^INT((A32-1)/12)</f>
        <v>6.9310625208333345</v>
      </c>
      <c r="E32" s="20">
        <f>C32-(D32-D31)-$B$6/12+MAX(0,F31-'02_Plan'!$B$26)*'02_Plan'!$B$25/12</f>
        <v>1.2081512887271548</v>
      </c>
      <c r="F32" s="20">
        <f t="shared" si="3"/>
        <v>14.589076395269265</v>
      </c>
      <c r="G32" s="20">
        <f t="shared" si="4"/>
        <v>17.58789468333336</v>
      </c>
      <c r="H32" s="23" t="str">
        <f t="shared" si="1"/>
        <v/>
      </c>
      <c r="I32" s="23" t="str">
        <f t="shared" si="2"/>
        <v/>
      </c>
    </row>
    <row r="33" spans="1:9" x14ac:dyDescent="0.35">
      <c r="A33" s="14">
        <v>22</v>
      </c>
      <c r="B33" s="23">
        <f t="shared" si="0"/>
        <v>10</v>
      </c>
      <c r="C33" s="20">
        <f>INDEX('02_Plan'!$C$59:$N$59,B33)*(1+$B$4)^INT((A33-1)/12)-INDEX('02_Plan'!$C$60:$N$60,B33)-'02_Plan'!$N$63-'02_Plan'!$N$64</f>
        <v>-0.65581117291666613</v>
      </c>
      <c r="D33" s="20">
        <f>(INDEX('02_Plan'!$C$69:$N$69,B33)+INDEX('02_Plan'!$C$71:$N$71,B33)-INDEX('02_Plan'!$C$70:$N$70,B33))*(1+$B$4)^INT((A33-1)/12)</f>
        <v>6.595996894791667</v>
      </c>
      <c r="E33" s="20">
        <f>C33-(D33-D32)-$B$6/12+MAX(0,F32-'02_Plan'!$B$26)*'02_Plan'!$B$25/12</f>
        <v>-0.32741683156531887</v>
      </c>
      <c r="F33" s="20">
        <f t="shared" si="3"/>
        <v>14.261659563703946</v>
      </c>
      <c r="G33" s="20">
        <f t="shared" si="4"/>
        <v>16.932083510416692</v>
      </c>
      <c r="H33" s="23" t="str">
        <f t="shared" si="1"/>
        <v/>
      </c>
      <c r="I33" s="23" t="str">
        <f t="shared" si="2"/>
        <v/>
      </c>
    </row>
    <row r="34" spans="1:9" x14ac:dyDescent="0.35">
      <c r="A34" s="14">
        <v>23</v>
      </c>
      <c r="B34" s="23">
        <f t="shared" si="0"/>
        <v>11</v>
      </c>
      <c r="C34" s="20">
        <f>INDEX('02_Plan'!$C$59:$N$59,B34)*(1+$B$4)^INT((A34-1)/12)-INDEX('02_Plan'!$C$60:$N$60,B34)-'02_Plan'!$N$63-'02_Plan'!$N$64</f>
        <v>-0.69103163749999963</v>
      </c>
      <c r="D34" s="20">
        <f>(INDEX('02_Plan'!$C$69:$N$69,B34)+INDEX('02_Plan'!$C$71:$N$71,B34)-INDEX('02_Plan'!$C$70:$N$70,B34))*(1+$B$4)^INT((A34-1)/12)</f>
        <v>6.4518790465277789</v>
      </c>
      <c r="E34" s="20">
        <f>C34-(D34-D33)-$B$6/12+MAX(0,F33-'02_Plan'!$B$26)*'02_Plan'!$B$25/12</f>
        <v>-0.55522215808425845</v>
      </c>
      <c r="F34" s="20">
        <f t="shared" si="3"/>
        <v>13.706437405619686</v>
      </c>
      <c r="G34" s="20">
        <f t="shared" si="4"/>
        <v>16.241051872916692</v>
      </c>
      <c r="H34" s="23" t="str">
        <f t="shared" si="1"/>
        <v/>
      </c>
      <c r="I34" s="23" t="str">
        <f t="shared" si="2"/>
        <v/>
      </c>
    </row>
    <row r="35" spans="1:9" x14ac:dyDescent="0.35">
      <c r="A35" s="14">
        <v>24</v>
      </c>
      <c r="B35" s="23">
        <f t="shared" si="0"/>
        <v>12</v>
      </c>
      <c r="C35" s="20">
        <f>INDEX('02_Plan'!$C$59:$N$59,B35)*(1+$B$4)^INT((A35-1)/12)-INDEX('02_Plan'!$C$60:$N$60,B35)-'02_Plan'!$N$63-'02_Plan'!$N$64</f>
        <v>-0.65581117291666613</v>
      </c>
      <c r="D35" s="20">
        <f>(INDEX('02_Plan'!$C$69:$N$69,B35)+INDEX('02_Plan'!$C$71:$N$71,B35)-INDEX('02_Plan'!$C$70:$N$70,B35))*(1+$B$4)^INT((A35-1)/12)</f>
        <v>6.3601202281250018</v>
      </c>
      <c r="E35" s="20">
        <f>C35-(D35-D34)-$B$6/12+MAX(0,F34-'02_Plan'!$B$26)*'02_Plan'!$B$25/12</f>
        <v>-0.5751368341524572</v>
      </c>
      <c r="F35" s="20">
        <f t="shared" si="3"/>
        <v>13.131300571467229</v>
      </c>
      <c r="G35" s="20">
        <f t="shared" si="4"/>
        <v>15.585240700000027</v>
      </c>
      <c r="H35" s="23" t="str">
        <f t="shared" si="1"/>
        <v/>
      </c>
      <c r="I35" s="23" t="str">
        <f t="shared" si="2"/>
        <v/>
      </c>
    </row>
    <row r="36" spans="1:9" x14ac:dyDescent="0.35">
      <c r="A36" s="14">
        <v>25</v>
      </c>
      <c r="B36" s="23">
        <f t="shared" si="0"/>
        <v>1</v>
      </c>
      <c r="C36" s="20">
        <f>INDEX('02_Plan'!$C$59:$N$59,B36)*(1+$B$4)^INT((A36-1)/12)-INDEX('02_Plan'!$C$60:$N$60,B36)-'02_Plan'!$N$63-'02_Plan'!$N$64</f>
        <v>-0.60000262760416656</v>
      </c>
      <c r="D36" s="20">
        <f>(INDEX('02_Plan'!$C$69:$N$69,B36)+INDEX('02_Plan'!$C$71:$N$71,B36)-INDEX('02_Plan'!$C$70:$N$70,B36))*(1+$B$4)^INT((A36-1)/12)</f>
        <v>6.455095264767527</v>
      </c>
      <c r="E36" s="20">
        <f>C36-(D36-D35)-$B$6/12+MAX(0,F35-'02_Plan'!$B$26)*'02_Plan'!$B$25/12</f>
        <v>-0.70893782805602235</v>
      </c>
      <c r="F36" s="20">
        <f t="shared" si="3"/>
        <v>12.422362743411206</v>
      </c>
      <c r="G36" s="20">
        <f t="shared" si="4"/>
        <v>14.985238072395861</v>
      </c>
      <c r="H36" s="23" t="str">
        <f t="shared" si="1"/>
        <v/>
      </c>
      <c r="I36" s="23" t="str">
        <f t="shared" si="2"/>
        <v/>
      </c>
    </row>
    <row r="37" spans="1:9" x14ac:dyDescent="0.35">
      <c r="A37" s="14">
        <v>26</v>
      </c>
      <c r="B37" s="23">
        <f t="shared" si="0"/>
        <v>2</v>
      </c>
      <c r="C37" s="20">
        <f>INDEX('02_Plan'!$C$59:$N$59,B37)*(1+$B$4)^INT((A37-1)/12)-INDEX('02_Plan'!$C$60:$N$60,B37)-'02_Plan'!$N$63-'02_Plan'!$N$64</f>
        <v>-0.60000262760416656</v>
      </c>
      <c r="D37" s="20">
        <f>(INDEX('02_Plan'!$C$69:$N$69,B37)+INDEX('02_Plan'!$C$71:$N$71,B37)-INDEX('02_Plan'!$C$70:$N$70,B37))*(1+$B$4)^INT((A37-1)/12)</f>
        <v>6.917927886718747</v>
      </c>
      <c r="E37" s="20">
        <f>C37-(D37-D36)-$B$6/12+MAX(0,F36-'02_Plan'!$B$26)*'02_Plan'!$B$25/12</f>
        <v>-1.0803401025049972</v>
      </c>
      <c r="F37" s="20">
        <f t="shared" si="3"/>
        <v>11.342022640906208</v>
      </c>
      <c r="G37" s="20">
        <f t="shared" si="4"/>
        <v>14.385235444791695</v>
      </c>
      <c r="H37" s="23" t="str">
        <f t="shared" si="1"/>
        <v/>
      </c>
      <c r="I37" s="23" t="str">
        <f t="shared" si="2"/>
        <v/>
      </c>
    </row>
    <row r="38" spans="1:9" x14ac:dyDescent="0.35">
      <c r="A38" s="14">
        <v>27</v>
      </c>
      <c r="B38" s="23">
        <f t="shared" si="0"/>
        <v>3</v>
      </c>
      <c r="C38" s="20">
        <f>INDEX('02_Plan'!$C$59:$N$59,B38)*(1+$B$4)^INT((A38-1)/12)-INDEX('02_Plan'!$C$60:$N$60,B38)-'02_Plan'!$N$63-'02_Plan'!$N$64</f>
        <v>-0.55597704687499949</v>
      </c>
      <c r="D38" s="20">
        <f>(INDEX('02_Plan'!$C$69:$N$69,B38)+INDEX('02_Plan'!$C$71:$N$71,B38)-INDEX('02_Plan'!$C$70:$N$70,B38))*(1+$B$4)^INT((A38-1)/12)</f>
        <v>7.9997529748263876</v>
      </c>
      <c r="E38" s="20">
        <f>C38-(D38-D37)-$B$6/12+MAX(0,F37-'02_Plan'!$B$26)*'02_Plan'!$B$25/12</f>
        <v>-1.6607086884447755</v>
      </c>
      <c r="F38" s="20">
        <f t="shared" si="3"/>
        <v>9.6813139524614336</v>
      </c>
      <c r="G38" s="20">
        <f t="shared" si="4"/>
        <v>13.829258397916695</v>
      </c>
      <c r="H38" s="23" t="str">
        <f t="shared" si="1"/>
        <v/>
      </c>
      <c r="I38" s="23" t="str">
        <f t="shared" si="2"/>
        <v/>
      </c>
    </row>
    <row r="39" spans="1:9" x14ac:dyDescent="0.35">
      <c r="A39" s="14">
        <v>28</v>
      </c>
      <c r="B39" s="23">
        <f t="shared" si="0"/>
        <v>4</v>
      </c>
      <c r="C39" s="20">
        <f>INDEX('02_Plan'!$C$59:$N$59,B39)*(1+$B$4)^INT((A39-1)/12)-INDEX('02_Plan'!$C$60:$N$60,B39)-'02_Plan'!$N$63-'02_Plan'!$N$64</f>
        <v>-0.55597704687499949</v>
      </c>
      <c r="D39" s="20">
        <f>(INDEX('02_Plan'!$C$69:$N$69,B39)+INDEX('02_Plan'!$C$71:$N$71,B39)-INDEX('02_Plan'!$C$70:$N$70,B39))*(1+$B$4)^INT((A39-1)/12)</f>
        <v>8.2843876970486114</v>
      </c>
      <c r="E39" s="20">
        <f>C39-(D39-D38)-$B$6/12+MAX(0,F38-'02_Plan'!$B$26)*'02_Plan'!$B$25/12</f>
        <v>-0.87182186600158285</v>
      </c>
      <c r="F39" s="20">
        <f t="shared" si="3"/>
        <v>8.8094920864598514</v>
      </c>
      <c r="G39" s="20">
        <f t="shared" si="4"/>
        <v>13.273281351041694</v>
      </c>
      <c r="H39" s="23" t="str">
        <f t="shared" si="1"/>
        <v/>
      </c>
      <c r="I39" s="23" t="str">
        <f t="shared" si="2"/>
        <v/>
      </c>
    </row>
    <row r="40" spans="1:9" x14ac:dyDescent="0.35">
      <c r="A40" s="14">
        <v>29</v>
      </c>
      <c r="B40" s="23">
        <f t="shared" si="0"/>
        <v>5</v>
      </c>
      <c r="C40" s="20">
        <f>INDEX('02_Plan'!$C$59:$N$59,B40)*(1+$B$4)^INT((A40-1)/12)-INDEX('02_Plan'!$C$60:$N$60,B40)-'02_Plan'!$N$63-'02_Plan'!$N$64</f>
        <v>-0.51195146614583276</v>
      </c>
      <c r="D40" s="20">
        <f>(INDEX('02_Plan'!$C$69:$N$69,B40)+INDEX('02_Plan'!$C$71:$N$71,B40)-INDEX('02_Plan'!$C$70:$N$70,B40))*(1+$B$4)^INT((A40-1)/12)</f>
        <v>8.9904072296006987</v>
      </c>
      <c r="E40" s="20">
        <f>C40-(D40-D39)-$B$6/12+MAX(0,F39-'02_Plan'!$B$26)*'02_Plan'!$B$25/12</f>
        <v>-1.2535402049322875</v>
      </c>
      <c r="F40" s="20">
        <f t="shared" si="3"/>
        <v>7.5559518815275641</v>
      </c>
      <c r="G40" s="20">
        <f t="shared" si="4"/>
        <v>12.761329884895861</v>
      </c>
      <c r="H40" s="23" t="str">
        <f t="shared" si="1"/>
        <v/>
      </c>
      <c r="I40" s="23" t="str">
        <f t="shared" si="2"/>
        <v/>
      </c>
    </row>
    <row r="41" spans="1:9" x14ac:dyDescent="0.35">
      <c r="A41" s="14">
        <v>30</v>
      </c>
      <c r="B41" s="23">
        <f t="shared" si="0"/>
        <v>6</v>
      </c>
      <c r="C41" s="20">
        <f>INDEX('02_Plan'!$C$59:$N$59,B41)*(1+$B$4)^INT((A41-1)/12)-INDEX('02_Plan'!$C$60:$N$60,B41)-'02_Plan'!$N$63-'02_Plan'!$N$64</f>
        <v>-0.42390030468749962</v>
      </c>
      <c r="D41" s="20">
        <f>(INDEX('02_Plan'!$C$69:$N$69,B41)+INDEX('02_Plan'!$C$71:$N$71,B41)-INDEX('02_Plan'!$C$70:$N$70,B41))*(1+$B$4)^INT((A41-1)/12)</f>
        <v>10.253108794704863</v>
      </c>
      <c r="E41" s="20">
        <f>C41-(D41-D40)-$B$6/12+MAX(0,F40-'02_Plan'!$B$26)*'02_Plan'!$B$25/12</f>
        <v>-1.7284387770506926</v>
      </c>
      <c r="F41" s="20">
        <f t="shared" si="3"/>
        <v>5.8275131044768713</v>
      </c>
      <c r="G41" s="20">
        <f t="shared" si="4"/>
        <v>12.337429580208362</v>
      </c>
      <c r="H41" s="23" t="str">
        <f t="shared" si="1"/>
        <v/>
      </c>
      <c r="I41" s="23" t="str">
        <f t="shared" si="2"/>
        <v/>
      </c>
    </row>
    <row r="42" spans="1:9" x14ac:dyDescent="0.35">
      <c r="A42" s="14">
        <v>31</v>
      </c>
      <c r="B42" s="23">
        <f t="shared" si="0"/>
        <v>7</v>
      </c>
      <c r="C42" s="20">
        <f>INDEX('02_Plan'!$C$59:$N$59,B42)*(1+$B$4)^INT((A42-1)/12)-INDEX('02_Plan'!$C$60:$N$60,B42)-'02_Plan'!$N$63-'02_Plan'!$N$64</f>
        <v>-1.0718235624999999</v>
      </c>
      <c r="D42" s="20">
        <f>(INDEX('02_Plan'!$C$69:$N$69,B42)+INDEX('02_Plan'!$C$71:$N$71,B42)-INDEX('02_Plan'!$C$70:$N$70,B42))*(1+$B$4)^INT((A42-1)/12)</f>
        <v>11.300277114583333</v>
      </c>
      <c r="E42" s="20">
        <f>C42-(D42-D41)-$B$6/12+MAX(0,F41-'02_Plan'!$B$26)*'02_Plan'!$B$25/12</f>
        <v>-2.1694709835227517</v>
      </c>
      <c r="F42" s="20">
        <f t="shared" si="3"/>
        <v>3.6580421209541196</v>
      </c>
      <c r="G42" s="20">
        <f t="shared" si="4"/>
        <v>11.265606017708361</v>
      </c>
      <c r="H42" s="23">
        <f t="shared" si="1"/>
        <v>31</v>
      </c>
      <c r="I42" s="23" t="str">
        <f t="shared" si="2"/>
        <v/>
      </c>
    </row>
    <row r="43" spans="1:9" x14ac:dyDescent="0.35">
      <c r="A43" s="14">
        <v>32</v>
      </c>
      <c r="B43" s="23">
        <f t="shared" si="0"/>
        <v>8</v>
      </c>
      <c r="C43" s="20">
        <f>INDEX('02_Plan'!$C$59:$N$59,B43)*(1+$B$4)^INT((A43-1)/12)-INDEX('02_Plan'!$C$60:$N$60,B43)-'02_Plan'!$N$63-'02_Plan'!$N$64</f>
        <v>-0.80767007812499969</v>
      </c>
      <c r="D43" s="20">
        <f>(INDEX('02_Plan'!$C$69:$N$69,B43)+INDEX('02_Plan'!$C$71:$N$71,B43)-INDEX('02_Plan'!$C$70:$N$70,B43))*(1+$B$4)^INT((A43-1)/12)</f>
        <v>10.965645698784723</v>
      </c>
      <c r="E43" s="20">
        <f>C43-(D43-D42)-$B$6/12+MAX(0,F42-'02_Plan'!$B$26)*'02_Plan'!$B$25/12</f>
        <v>-0.53436511838828604</v>
      </c>
      <c r="F43" s="20">
        <f t="shared" si="3"/>
        <v>3.1236770025658336</v>
      </c>
      <c r="G43" s="20">
        <f t="shared" si="4"/>
        <v>10.457935939583361</v>
      </c>
      <c r="H43" s="23">
        <f t="shared" si="1"/>
        <v>32</v>
      </c>
      <c r="I43" s="23" t="str">
        <f t="shared" si="2"/>
        <v/>
      </c>
    </row>
    <row r="44" spans="1:9" x14ac:dyDescent="0.35">
      <c r="A44" s="14">
        <v>33</v>
      </c>
      <c r="B44" s="23">
        <f t="shared" ref="B44:B75" si="5">MOD(A44-1,12)+1</f>
        <v>9</v>
      </c>
      <c r="C44" s="20">
        <f>INDEX('02_Plan'!$C$59:$N$59,B44)*(1+$B$4)^INT((A44-1)/12)-INDEX('02_Plan'!$C$60:$N$60,B44)-'02_Plan'!$N$63-'02_Plan'!$N$64</f>
        <v>-0.46792588541666613</v>
      </c>
      <c r="D44" s="20">
        <f>(INDEX('02_Plan'!$C$69:$N$69,B44)+INDEX('02_Plan'!$C$71:$N$71,B44)-INDEX('02_Plan'!$C$70:$N$70,B44))*(1+$B$4)^INT((A44-1)/12)</f>
        <v>8.6638281510416686</v>
      </c>
      <c r="E44" s="20">
        <f>C44-(D44-D43)-$B$6/12+MAX(0,F43-'02_Plan'!$B$26)*'02_Plan'!$B$25/12</f>
        <v>1.7698933806725505</v>
      </c>
      <c r="F44" s="20">
        <f t="shared" si="3"/>
        <v>4.8935703832383837</v>
      </c>
      <c r="G44" s="20">
        <f t="shared" si="4"/>
        <v>9.9900100541666959</v>
      </c>
      <c r="H44" s="23">
        <f t="shared" ref="H44:H75" si="6">IF(F44&lt;$B$5,A44,"")</f>
        <v>33</v>
      </c>
      <c r="I44" s="23" t="str">
        <f t="shared" ref="I44:I75" si="7">IF(G44&lt;$B$5,A44,"")</f>
        <v/>
      </c>
    </row>
    <row r="45" spans="1:9" x14ac:dyDescent="0.35">
      <c r="A45" s="14">
        <v>34</v>
      </c>
      <c r="B45" s="23">
        <f t="shared" si="5"/>
        <v>10</v>
      </c>
      <c r="C45" s="20">
        <f>INDEX('02_Plan'!$C$59:$N$59,B45)*(1+$B$4)^INT((A45-1)/12)-INDEX('02_Plan'!$C$60:$N$60,B45)-'02_Plan'!$N$63-'02_Plan'!$N$64</f>
        <v>-0.51195146614583276</v>
      </c>
      <c r="D45" s="20">
        <f>(INDEX('02_Plan'!$C$69:$N$69,B45)+INDEX('02_Plan'!$C$71:$N$71,B45)-INDEX('02_Plan'!$C$70:$N$70,B45))*(1+$B$4)^INT((A45-1)/12)</f>
        <v>8.244996118489583</v>
      </c>
      <c r="E45" s="20">
        <f>C45-(D45-D44)-$B$6/12+MAX(0,F44-'02_Plan'!$B$26)*'02_Plan'!$B$25/12</f>
        <v>-0.14826824834422192</v>
      </c>
      <c r="F45" s="20">
        <f t="shared" ref="F45:F76" si="8">F44+E45</f>
        <v>4.7453021348941622</v>
      </c>
      <c r="G45" s="20">
        <f t="shared" ref="G45:G76" si="9">G44+C45</f>
        <v>9.478058588020863</v>
      </c>
      <c r="H45" s="23">
        <f t="shared" si="6"/>
        <v>34</v>
      </c>
      <c r="I45" s="23" t="str">
        <f t="shared" si="7"/>
        <v/>
      </c>
    </row>
    <row r="46" spans="1:9" x14ac:dyDescent="0.35">
      <c r="A46" s="14">
        <v>35</v>
      </c>
      <c r="B46" s="23">
        <f t="shared" si="5"/>
        <v>11</v>
      </c>
      <c r="C46" s="20">
        <f>INDEX('02_Plan'!$C$59:$N$59,B46)*(1+$B$4)^INT((A46-1)/12)-INDEX('02_Plan'!$C$60:$N$60,B46)-'02_Plan'!$N$63-'02_Plan'!$N$64</f>
        <v>-0.55597704687499949</v>
      </c>
      <c r="D46" s="20">
        <f>(INDEX('02_Plan'!$C$69:$N$69,B46)+INDEX('02_Plan'!$C$71:$N$71,B46)-INDEX('02_Plan'!$C$70:$N$70,B46))*(1+$B$4)^INT((A46-1)/12)</f>
        <v>8.0648488081597236</v>
      </c>
      <c r="E46" s="20">
        <f>C46-(D46-D45)-$B$6/12+MAX(0,F45-'02_Plan'!$B$26)*'02_Plan'!$B$25/12</f>
        <v>-0.43171989253733589</v>
      </c>
      <c r="F46" s="20">
        <f t="shared" si="8"/>
        <v>4.3135822423568264</v>
      </c>
      <c r="G46" s="20">
        <f t="shared" si="9"/>
        <v>8.9220815411458627</v>
      </c>
      <c r="H46" s="23">
        <f t="shared" si="6"/>
        <v>35</v>
      </c>
      <c r="I46" s="23" t="str">
        <f t="shared" si="7"/>
        <v/>
      </c>
    </row>
    <row r="47" spans="1:9" x14ac:dyDescent="0.35">
      <c r="A47" s="14">
        <v>36</v>
      </c>
      <c r="B47" s="23">
        <f t="shared" si="5"/>
        <v>12</v>
      </c>
      <c r="C47" s="20">
        <f>INDEX('02_Plan'!$C$59:$N$59,B47)*(1+$B$4)^INT((A47-1)/12)-INDEX('02_Plan'!$C$60:$N$60,B47)-'02_Plan'!$N$63-'02_Plan'!$N$64</f>
        <v>-0.51195146614583276</v>
      </c>
      <c r="D47" s="20">
        <f>(INDEX('02_Plan'!$C$69:$N$69,B47)+INDEX('02_Plan'!$C$71:$N$71,B47)-INDEX('02_Plan'!$C$70:$N$70,B47))*(1+$B$4)^INT((A47-1)/12)</f>
        <v>7.9501502851562513</v>
      </c>
      <c r="E47" s="20">
        <f>C47-(D47-D46)-$B$6/12+MAX(0,F46-'02_Plan'!$B$26)*'02_Plan'!$B$25/12</f>
        <v>-0.45530169859724301</v>
      </c>
      <c r="F47" s="20">
        <f t="shared" si="8"/>
        <v>3.8582805437595833</v>
      </c>
      <c r="G47" s="20">
        <f t="shared" si="9"/>
        <v>8.4101300750000298</v>
      </c>
      <c r="H47" s="23">
        <f t="shared" si="6"/>
        <v>36</v>
      </c>
      <c r="I47" s="23" t="str">
        <f t="shared" si="7"/>
        <v/>
      </c>
    </row>
    <row r="48" spans="1:9" x14ac:dyDescent="0.35">
      <c r="A48" s="14">
        <v>37</v>
      </c>
      <c r="B48" s="23">
        <f t="shared" si="5"/>
        <v>1</v>
      </c>
      <c r="C48" s="20">
        <f>INDEX('02_Plan'!$C$59:$N$59,B48)*(1+$B$4)^INT((A48-1)/12)-INDEX('02_Plan'!$C$60:$N$60,B48)-'02_Plan'!$N$63-'02_Plan'!$N$64</f>
        <v>-0.44219078450520821</v>
      </c>
      <c r="D48" s="20">
        <f>(INDEX('02_Plan'!$C$69:$N$69,B48)+INDEX('02_Plan'!$C$71:$N$71,B48)-INDEX('02_Plan'!$C$70:$N$70,B48))*(1+$B$4)^INT((A48-1)/12)</f>
        <v>8.0688690809594092</v>
      </c>
      <c r="E48" s="20">
        <f>C48-(D48-D47)-$B$6/12+MAX(0,F47-'02_Plan'!$B$26)*'02_Plan'!$B$25/12</f>
        <v>-0.62123484425623487</v>
      </c>
      <c r="F48" s="20">
        <f t="shared" si="8"/>
        <v>3.2370456995033483</v>
      </c>
      <c r="G48" s="20">
        <f t="shared" si="9"/>
        <v>7.9679392904948214</v>
      </c>
      <c r="H48" s="23">
        <f t="shared" si="6"/>
        <v>37</v>
      </c>
      <c r="I48" s="23" t="str">
        <f t="shared" si="7"/>
        <v/>
      </c>
    </row>
    <row r="49" spans="1:9" x14ac:dyDescent="0.35">
      <c r="A49" s="14">
        <v>38</v>
      </c>
      <c r="B49" s="23">
        <f t="shared" si="5"/>
        <v>2</v>
      </c>
      <c r="C49" s="20">
        <f>INDEX('02_Plan'!$C$59:$N$59,B49)*(1+$B$4)^INT((A49-1)/12)-INDEX('02_Plan'!$C$60:$N$60,B49)-'02_Plan'!$N$63-'02_Plan'!$N$64</f>
        <v>-0.44219078450520821</v>
      </c>
      <c r="D49" s="20">
        <f>(INDEX('02_Plan'!$C$69:$N$69,B49)+INDEX('02_Plan'!$C$71:$N$71,B49)-INDEX('02_Plan'!$C$70:$N$70,B49))*(1+$B$4)^INT((A49-1)/12)</f>
        <v>8.6474098583984347</v>
      </c>
      <c r="E49" s="20">
        <f>C49-(D49-D48)-$B$6/12+MAX(0,F48-'02_Plan'!$B$26)*'02_Plan'!$B$25/12</f>
        <v>-1.0841630001133835</v>
      </c>
      <c r="F49" s="20">
        <f t="shared" si="8"/>
        <v>2.1528826993899646</v>
      </c>
      <c r="G49" s="20">
        <f t="shared" si="9"/>
        <v>7.525748505989613</v>
      </c>
      <c r="H49" s="23">
        <f t="shared" si="6"/>
        <v>38</v>
      </c>
      <c r="I49" s="23" t="str">
        <f t="shared" si="7"/>
        <v/>
      </c>
    </row>
    <row r="50" spans="1:9" x14ac:dyDescent="0.35">
      <c r="A50" s="14">
        <v>39</v>
      </c>
      <c r="B50" s="23">
        <f t="shared" si="5"/>
        <v>3</v>
      </c>
      <c r="C50" s="20">
        <f>INDEX('02_Plan'!$C$59:$N$59,B50)*(1+$B$4)^INT((A50-1)/12)-INDEX('02_Plan'!$C$60:$N$60,B50)-'02_Plan'!$N$63-'02_Plan'!$N$64</f>
        <v>-0.38715880859374951</v>
      </c>
      <c r="D50" s="20">
        <f>(INDEX('02_Plan'!$C$69:$N$69,B50)+INDEX('02_Plan'!$C$71:$N$71,B50)-INDEX('02_Plan'!$C$70:$N$70,B50))*(1+$B$4)^INT((A50-1)/12)</f>
        <v>9.999691218532984</v>
      </c>
      <c r="E50" s="20">
        <f>C50-(D50-D49)-$B$6/12+MAX(0,F49-'02_Plan'!$B$26)*'02_Plan'!$B$25/12</f>
        <v>-1.8061068353949656</v>
      </c>
      <c r="F50" s="20">
        <f t="shared" si="8"/>
        <v>0.34677586399499893</v>
      </c>
      <c r="G50" s="20">
        <f t="shared" si="9"/>
        <v>7.1385896973958634</v>
      </c>
      <c r="H50" s="23">
        <f t="shared" si="6"/>
        <v>39</v>
      </c>
      <c r="I50" s="23" t="str">
        <f t="shared" si="7"/>
        <v/>
      </c>
    </row>
    <row r="51" spans="1:9" x14ac:dyDescent="0.35">
      <c r="A51" s="14">
        <v>40</v>
      </c>
      <c r="B51" s="23">
        <f t="shared" si="5"/>
        <v>4</v>
      </c>
      <c r="C51" s="20">
        <f>INDEX('02_Plan'!$C$59:$N$59,B51)*(1+$B$4)^INT((A51-1)/12)-INDEX('02_Plan'!$C$60:$N$60,B51)-'02_Plan'!$N$63-'02_Plan'!$N$64</f>
        <v>-0.38715880859374951</v>
      </c>
      <c r="D51" s="20">
        <f>(INDEX('02_Plan'!$C$69:$N$69,B51)+INDEX('02_Plan'!$C$71:$N$71,B51)-INDEX('02_Plan'!$C$70:$N$70,B51))*(1+$B$4)^INT((A51-1)/12)</f>
        <v>10.355484621310765</v>
      </c>
      <c r="E51" s="20">
        <f>C51-(D51-D50)-$B$6/12+MAX(0,F50-'02_Plan'!$B$26)*'02_Plan'!$B$25/12</f>
        <v>-0.80961887803819732</v>
      </c>
      <c r="F51" s="20">
        <f t="shared" si="8"/>
        <v>-0.46284301404319839</v>
      </c>
      <c r="G51" s="20">
        <f t="shared" si="9"/>
        <v>6.7514308888021137</v>
      </c>
      <c r="H51" s="23">
        <f t="shared" si="6"/>
        <v>40</v>
      </c>
      <c r="I51" s="23" t="str">
        <f t="shared" si="7"/>
        <v/>
      </c>
    </row>
    <row r="52" spans="1:9" x14ac:dyDescent="0.35">
      <c r="A52" s="14">
        <v>41</v>
      </c>
      <c r="B52" s="23">
        <f t="shared" si="5"/>
        <v>5</v>
      </c>
      <c r="C52" s="20">
        <f>INDEX('02_Plan'!$C$59:$N$59,B52)*(1+$B$4)^INT((A52-1)/12)-INDEX('02_Plan'!$C$60:$N$60,B52)-'02_Plan'!$N$63-'02_Plan'!$N$64</f>
        <v>-0.33212683268229093</v>
      </c>
      <c r="D52" s="20">
        <f>(INDEX('02_Plan'!$C$69:$N$69,B52)+INDEX('02_Plan'!$C$71:$N$71,B52)-INDEX('02_Plan'!$C$70:$N$70,B52))*(1+$B$4)^INT((A52-1)/12)</f>
        <v>11.238009037000873</v>
      </c>
      <c r="E52" s="20">
        <f>C52-(D52-D51)-$B$6/12+MAX(0,F51-'02_Plan'!$B$26)*'02_Plan'!$B$25/12</f>
        <v>-1.2813179150390657</v>
      </c>
      <c r="F52" s="20">
        <f t="shared" si="8"/>
        <v>-1.7441609290822639</v>
      </c>
      <c r="G52" s="20">
        <f t="shared" si="9"/>
        <v>6.4193040561198229</v>
      </c>
      <c r="H52" s="23">
        <f t="shared" si="6"/>
        <v>41</v>
      </c>
      <c r="I52" s="23" t="str">
        <f t="shared" si="7"/>
        <v/>
      </c>
    </row>
    <row r="53" spans="1:9" x14ac:dyDescent="0.35">
      <c r="A53" s="14">
        <v>42</v>
      </c>
      <c r="B53" s="23">
        <f t="shared" si="5"/>
        <v>6</v>
      </c>
      <c r="C53" s="20">
        <f>INDEX('02_Plan'!$C$59:$N$59,B53)*(1+$B$4)^INT((A53-1)/12)-INDEX('02_Plan'!$C$60:$N$60,B53)-'02_Plan'!$N$63-'02_Plan'!$N$64</f>
        <v>-0.22206288085937467</v>
      </c>
      <c r="D53" s="20">
        <f>(INDEX('02_Plan'!$C$69:$N$69,B53)+INDEX('02_Plan'!$C$71:$N$71,B53)-INDEX('02_Plan'!$C$70:$N$70,B53))*(1+$B$4)^INT((A53-1)/12)</f>
        <v>12.816385993381079</v>
      </c>
      <c r="E53" s="20">
        <f>C53-(D53-D52)-$B$6/12+MAX(0,F52-'02_Plan'!$B$26)*'02_Plan'!$B$25/12</f>
        <v>-1.8671065039062471</v>
      </c>
      <c r="F53" s="20">
        <f t="shared" si="8"/>
        <v>-3.6112674329885111</v>
      </c>
      <c r="G53" s="20">
        <f t="shared" si="9"/>
        <v>6.1972411752604479</v>
      </c>
      <c r="H53" s="23">
        <f t="shared" si="6"/>
        <v>42</v>
      </c>
      <c r="I53" s="23" t="str">
        <f t="shared" si="7"/>
        <v/>
      </c>
    </row>
    <row r="54" spans="1:9" x14ac:dyDescent="0.35">
      <c r="A54" s="14">
        <v>43</v>
      </c>
      <c r="B54" s="23">
        <f t="shared" si="5"/>
        <v>7</v>
      </c>
      <c r="C54" s="20">
        <f>INDEX('02_Plan'!$C$59:$N$59,B54)*(1+$B$4)^INT((A54-1)/12)-INDEX('02_Plan'!$C$60:$N$60,B54)-'02_Plan'!$N$63-'02_Plan'!$N$64</f>
        <v>-0.83696695312499991</v>
      </c>
      <c r="D54" s="20">
        <f>(INDEX('02_Plan'!$C$69:$N$69,B54)+INDEX('02_Plan'!$C$71:$N$71,B54)-INDEX('02_Plan'!$C$70:$N$70,B54))*(1+$B$4)^INT((A54-1)/12)</f>
        <v>14.125346393229165</v>
      </c>
      <c r="E54" s="20">
        <f>C54-(D54-D53)-$B$6/12+MAX(0,F53-'02_Plan'!$B$26)*'02_Plan'!$B$25/12</f>
        <v>-2.2125940196397527</v>
      </c>
      <c r="F54" s="20">
        <f t="shared" si="8"/>
        <v>-5.8238614526282637</v>
      </c>
      <c r="G54" s="20">
        <f t="shared" si="9"/>
        <v>5.3602742221354482</v>
      </c>
      <c r="H54" s="23">
        <f t="shared" si="6"/>
        <v>43</v>
      </c>
      <c r="I54" s="23" t="str">
        <f t="shared" si="7"/>
        <v/>
      </c>
    </row>
    <row r="55" spans="1:9" x14ac:dyDescent="0.35">
      <c r="A55" s="14">
        <v>44</v>
      </c>
      <c r="B55" s="23">
        <f t="shared" si="5"/>
        <v>8</v>
      </c>
      <c r="C55" s="20">
        <f>INDEX('02_Plan'!$C$59:$N$59,B55)*(1+$B$4)^INT((A55-1)/12)-INDEX('02_Plan'!$C$60:$N$60,B55)-'02_Plan'!$N$63-'02_Plan'!$N$64</f>
        <v>-0.50677509765624973</v>
      </c>
      <c r="D55" s="20">
        <f>(INDEX('02_Plan'!$C$69:$N$69,B55)+INDEX('02_Plan'!$C$71:$N$71,B55)-INDEX('02_Plan'!$C$70:$N$70,B55))*(1+$B$4)^INT((A55-1)/12)</f>
        <v>13.707057123480904</v>
      </c>
      <c r="E55" s="20">
        <f>C55-(D55-D54)-$B$6/12+MAX(0,F54-'02_Plan'!$B$26)*'02_Plan'!$B$25/12</f>
        <v>-0.15515249457465563</v>
      </c>
      <c r="F55" s="20">
        <f t="shared" si="8"/>
        <v>-5.9790139472029189</v>
      </c>
      <c r="G55" s="20">
        <f t="shared" si="9"/>
        <v>4.8534991244791987</v>
      </c>
      <c r="H55" s="23">
        <f t="shared" si="6"/>
        <v>44</v>
      </c>
      <c r="I55" s="23">
        <f t="shared" si="7"/>
        <v>44</v>
      </c>
    </row>
    <row r="56" spans="1:9" x14ac:dyDescent="0.35">
      <c r="A56" s="14">
        <v>45</v>
      </c>
      <c r="B56" s="23">
        <f t="shared" si="5"/>
        <v>9</v>
      </c>
      <c r="C56" s="20">
        <f>INDEX('02_Plan'!$C$59:$N$59,B56)*(1+$B$4)^INT((A56-1)/12)-INDEX('02_Plan'!$C$60:$N$60,B56)-'02_Plan'!$N$63-'02_Plan'!$N$64</f>
        <v>-0.27709485677083268</v>
      </c>
      <c r="D56" s="20">
        <f>(INDEX('02_Plan'!$C$69:$N$69,B56)+INDEX('02_Plan'!$C$71:$N$71,B56)-INDEX('02_Plan'!$C$70:$N$70,B56))*(1+$B$4)^INT((A56-1)/12)</f>
        <v>10.829785188802084</v>
      </c>
      <c r="E56" s="20">
        <f>C56-(D56-D55)-$B$6/12+MAX(0,F55-'02_Plan'!$B$26)*'02_Plan'!$B$25/12</f>
        <v>2.5335104112413203</v>
      </c>
      <c r="F56" s="20">
        <f t="shared" si="8"/>
        <v>-3.4455035359615986</v>
      </c>
      <c r="G56" s="20">
        <f t="shared" si="9"/>
        <v>4.5764042677083658</v>
      </c>
      <c r="H56" s="23">
        <f t="shared" si="6"/>
        <v>45</v>
      </c>
      <c r="I56" s="23">
        <f t="shared" si="7"/>
        <v>45</v>
      </c>
    </row>
    <row r="57" spans="1:9" x14ac:dyDescent="0.35">
      <c r="A57" s="14">
        <v>46</v>
      </c>
      <c r="B57" s="23">
        <f t="shared" si="5"/>
        <v>10</v>
      </c>
      <c r="C57" s="20">
        <f>INDEX('02_Plan'!$C$59:$N$59,B57)*(1+$B$4)^INT((A57-1)/12)-INDEX('02_Plan'!$C$60:$N$60,B57)-'02_Plan'!$N$63-'02_Plan'!$N$64</f>
        <v>-0.33212683268229093</v>
      </c>
      <c r="D57" s="20">
        <f>(INDEX('02_Plan'!$C$69:$N$69,B57)+INDEX('02_Plan'!$C$71:$N$71,B57)-INDEX('02_Plan'!$C$70:$N$70,B57))*(1+$B$4)^INT((A57-1)/12)</f>
        <v>10.30624514811198</v>
      </c>
      <c r="E57" s="20">
        <f>C57-(D57-D56)-$B$6/12+MAX(0,F56-'02_Plan'!$B$26)*'02_Plan'!$B$25/12</f>
        <v>0.1247465413411467</v>
      </c>
      <c r="F57" s="20">
        <f t="shared" si="8"/>
        <v>-3.320756994620452</v>
      </c>
      <c r="G57" s="20">
        <f t="shared" si="9"/>
        <v>4.244277435026075</v>
      </c>
      <c r="H57" s="23">
        <f t="shared" si="6"/>
        <v>46</v>
      </c>
      <c r="I57" s="23">
        <f t="shared" si="7"/>
        <v>46</v>
      </c>
    </row>
    <row r="58" spans="1:9" x14ac:dyDescent="0.35">
      <c r="A58" s="14">
        <v>47</v>
      </c>
      <c r="B58" s="23">
        <f t="shared" si="5"/>
        <v>11</v>
      </c>
      <c r="C58" s="20">
        <f>INDEX('02_Plan'!$C$59:$N$59,B58)*(1+$B$4)^INT((A58-1)/12)-INDEX('02_Plan'!$C$60:$N$60,B58)-'02_Plan'!$N$63-'02_Plan'!$N$64</f>
        <v>-0.38715880859374951</v>
      </c>
      <c r="D58" s="20">
        <f>(INDEX('02_Plan'!$C$69:$N$69,B58)+INDEX('02_Plan'!$C$71:$N$71,B58)-INDEX('02_Plan'!$C$70:$N$70,B58))*(1+$B$4)^INT((A58-1)/12)</f>
        <v>10.081061010199655</v>
      </c>
      <c r="E58" s="20">
        <f>C58-(D58-D57)-$B$6/12+MAX(0,F57-'02_Plan'!$B$26)*'02_Plan'!$B$25/12</f>
        <v>-0.22864133734809056</v>
      </c>
      <c r="F58" s="20">
        <f t="shared" si="8"/>
        <v>-3.5493983319685425</v>
      </c>
      <c r="G58" s="20">
        <f t="shared" si="9"/>
        <v>3.8571186264323254</v>
      </c>
      <c r="H58" s="23">
        <f t="shared" si="6"/>
        <v>47</v>
      </c>
      <c r="I58" s="23">
        <f t="shared" si="7"/>
        <v>47</v>
      </c>
    </row>
    <row r="59" spans="1:9" x14ac:dyDescent="0.35">
      <c r="A59" s="14">
        <v>48</v>
      </c>
      <c r="B59" s="23">
        <f t="shared" si="5"/>
        <v>12</v>
      </c>
      <c r="C59" s="20">
        <f>INDEX('02_Plan'!$C$59:$N$59,B59)*(1+$B$4)^INT((A59-1)/12)-INDEX('02_Plan'!$C$60:$N$60,B59)-'02_Plan'!$N$63-'02_Plan'!$N$64</f>
        <v>-0.33212683268229093</v>
      </c>
      <c r="D59" s="20">
        <f>(INDEX('02_Plan'!$C$69:$N$69,B59)+INDEX('02_Plan'!$C$71:$N$71,B59)-INDEX('02_Plan'!$C$70:$N$70,B59))*(1+$B$4)^INT((A59-1)/12)</f>
        <v>9.937687856445315</v>
      </c>
      <c r="E59" s="20">
        <f>C59-(D59-D58)-$B$6/12+MAX(0,F58-'02_Plan'!$B$26)*'02_Plan'!$B$25/12</f>
        <v>-0.25542034559461813</v>
      </c>
      <c r="F59" s="20">
        <f t="shared" si="8"/>
        <v>-3.8048186775631607</v>
      </c>
      <c r="G59" s="20">
        <f t="shared" si="9"/>
        <v>3.5249917937500346</v>
      </c>
      <c r="H59" s="23">
        <f t="shared" si="6"/>
        <v>48</v>
      </c>
      <c r="I59" s="23">
        <f t="shared" si="7"/>
        <v>48</v>
      </c>
    </row>
    <row r="60" spans="1:9" x14ac:dyDescent="0.35">
      <c r="A60" s="14">
        <v>49</v>
      </c>
      <c r="B60" s="23">
        <f t="shared" si="5"/>
        <v>1</v>
      </c>
      <c r="C60" s="20">
        <f>INDEX('02_Plan'!$C$59:$N$59,B60)*(1+$B$4)^INT((A60-1)/12)-INDEX('02_Plan'!$C$60:$N$60,B60)-'02_Plan'!$N$63-'02_Plan'!$N$64</f>
        <v>-0.2449259806315103</v>
      </c>
      <c r="D60" s="20">
        <f>(INDEX('02_Plan'!$C$69:$N$69,B60)+INDEX('02_Plan'!$C$71:$N$71,B60)-INDEX('02_Plan'!$C$70:$N$70,B60))*(1+$B$4)^INT((A60-1)/12)</f>
        <v>10.086086351199262</v>
      </c>
      <c r="E60" s="20">
        <f>C60-(D60-D59)-$B$6/12+MAX(0,F59-'02_Plan'!$B$26)*'02_Plan'!$B$25/12</f>
        <v>-0.45999114205212344</v>
      </c>
      <c r="F60" s="20">
        <f t="shared" si="8"/>
        <v>-4.2648098196152837</v>
      </c>
      <c r="G60" s="20">
        <f t="shared" si="9"/>
        <v>3.2800658131185241</v>
      </c>
      <c r="H60" s="23">
        <f t="shared" si="6"/>
        <v>49</v>
      </c>
      <c r="I60" s="23">
        <f t="shared" si="7"/>
        <v>49</v>
      </c>
    </row>
    <row r="61" spans="1:9" x14ac:dyDescent="0.35">
      <c r="A61" s="14">
        <v>50</v>
      </c>
      <c r="B61" s="23">
        <f t="shared" si="5"/>
        <v>2</v>
      </c>
      <c r="C61" s="20">
        <f>INDEX('02_Plan'!$C$59:$N$59,B61)*(1+$B$4)^INT((A61-1)/12)-INDEX('02_Plan'!$C$60:$N$60,B61)-'02_Plan'!$N$63-'02_Plan'!$N$64</f>
        <v>-0.2449259806315103</v>
      </c>
      <c r="D61" s="20">
        <f>(INDEX('02_Plan'!$C$69:$N$69,B61)+INDEX('02_Plan'!$C$71:$N$71,B61)-INDEX('02_Plan'!$C$70:$N$70,B61))*(1+$B$4)^INT((A61-1)/12)</f>
        <v>10.809262322998043</v>
      </c>
      <c r="E61" s="20">
        <f>C61-(D61-D60)-$B$6/12+MAX(0,F60-'02_Plan'!$B$26)*'02_Plan'!$B$25/12</f>
        <v>-1.0347686190969583</v>
      </c>
      <c r="F61" s="20">
        <f t="shared" si="8"/>
        <v>-5.299578438712242</v>
      </c>
      <c r="G61" s="20">
        <f t="shared" si="9"/>
        <v>3.0351398324870136</v>
      </c>
      <c r="H61" s="23">
        <f t="shared" si="6"/>
        <v>50</v>
      </c>
      <c r="I61" s="23">
        <f t="shared" si="7"/>
        <v>50</v>
      </c>
    </row>
    <row r="62" spans="1:9" x14ac:dyDescent="0.35">
      <c r="A62" s="14">
        <v>51</v>
      </c>
      <c r="B62" s="23">
        <f t="shared" si="5"/>
        <v>3</v>
      </c>
      <c r="C62" s="20">
        <f>INDEX('02_Plan'!$C$59:$N$59,B62)*(1+$B$4)^INT((A62-1)/12)-INDEX('02_Plan'!$C$60:$N$60,B62)-'02_Plan'!$N$63-'02_Plan'!$N$64</f>
        <v>-0.1761360107421869</v>
      </c>
      <c r="D62" s="20">
        <f>(INDEX('02_Plan'!$C$69:$N$69,B62)+INDEX('02_Plan'!$C$71:$N$71,B62)-INDEX('02_Plan'!$C$70:$N$70,B62))*(1+$B$4)^INT((A62-1)/12)</f>
        <v>12.499614023166231</v>
      </c>
      <c r="E62" s="20">
        <f>C62-(D62-D61)-$B$6/12+MAX(0,F61-'02_Plan'!$B$26)*'02_Plan'!$B$25/12</f>
        <v>-1.9331543775770417</v>
      </c>
      <c r="F62" s="20">
        <f t="shared" si="8"/>
        <v>-7.2327328162892837</v>
      </c>
      <c r="G62" s="20">
        <f t="shared" si="9"/>
        <v>2.8590038217448268</v>
      </c>
      <c r="H62" s="23">
        <f t="shared" si="6"/>
        <v>51</v>
      </c>
      <c r="I62" s="23">
        <f t="shared" si="7"/>
        <v>51</v>
      </c>
    </row>
    <row r="63" spans="1:9" x14ac:dyDescent="0.35">
      <c r="A63" s="14">
        <v>52</v>
      </c>
      <c r="B63" s="23">
        <f t="shared" si="5"/>
        <v>4</v>
      </c>
      <c r="C63" s="20">
        <f>INDEX('02_Plan'!$C$59:$N$59,B63)*(1+$B$4)^INT((A63-1)/12)-INDEX('02_Plan'!$C$60:$N$60,B63)-'02_Plan'!$N$63-'02_Plan'!$N$64</f>
        <v>-0.1761360107421869</v>
      </c>
      <c r="D63" s="20">
        <f>(INDEX('02_Plan'!$C$69:$N$69,B63)+INDEX('02_Plan'!$C$71:$N$71,B63)-INDEX('02_Plan'!$C$70:$N$70,B63))*(1+$B$4)^INT((A63-1)/12)</f>
        <v>12.944355776638456</v>
      </c>
      <c r="E63" s="20">
        <f>C63-(D63-D62)-$B$6/12+MAX(0,F62-'02_Plan'!$B$26)*'02_Plan'!$B$25/12</f>
        <v>-0.68754443088107908</v>
      </c>
      <c r="F63" s="20">
        <f t="shared" si="8"/>
        <v>-7.9202772471703629</v>
      </c>
      <c r="G63" s="20">
        <f t="shared" si="9"/>
        <v>2.68286781100264</v>
      </c>
      <c r="H63" s="23">
        <f t="shared" si="6"/>
        <v>52</v>
      </c>
      <c r="I63" s="23">
        <f t="shared" si="7"/>
        <v>52</v>
      </c>
    </row>
    <row r="64" spans="1:9" x14ac:dyDescent="0.35">
      <c r="A64" s="14">
        <v>53</v>
      </c>
      <c r="B64" s="23">
        <f t="shared" si="5"/>
        <v>5</v>
      </c>
      <c r="C64" s="20">
        <f>INDEX('02_Plan'!$C$59:$N$59,B64)*(1+$B$4)^INT((A64-1)/12)-INDEX('02_Plan'!$C$60:$N$60,B64)-'02_Plan'!$N$63-'02_Plan'!$N$64</f>
        <v>-0.10734604085286373</v>
      </c>
      <c r="D64" s="20">
        <f>(INDEX('02_Plan'!$C$69:$N$69,B64)+INDEX('02_Plan'!$C$71:$N$71,B64)-INDEX('02_Plan'!$C$70:$N$70,B64))*(1+$B$4)^INT((A64-1)/12)</f>
        <v>14.047511296251091</v>
      </c>
      <c r="E64" s="20">
        <f>C64-(D64-D63)-$B$6/12+MAX(0,F63-'02_Plan'!$B$26)*'02_Plan'!$B$25/12</f>
        <v>-1.2771682271321652</v>
      </c>
      <c r="F64" s="20">
        <f t="shared" si="8"/>
        <v>-9.197445474302528</v>
      </c>
      <c r="G64" s="20">
        <f t="shared" si="9"/>
        <v>2.5755217701497761</v>
      </c>
      <c r="H64" s="23">
        <f t="shared" si="6"/>
        <v>53</v>
      </c>
      <c r="I64" s="23">
        <f t="shared" si="7"/>
        <v>53</v>
      </c>
    </row>
    <row r="65" spans="1:9" x14ac:dyDescent="0.35">
      <c r="A65" s="14">
        <v>54</v>
      </c>
      <c r="B65" s="23">
        <f t="shared" si="5"/>
        <v>6</v>
      </c>
      <c r="C65" s="20">
        <f>INDEX('02_Plan'!$C$59:$N$59,B65)*(1+$B$4)^INT((A65-1)/12)-INDEX('02_Plan'!$C$60:$N$60,B65)-'02_Plan'!$N$63-'02_Plan'!$N$64</f>
        <v>3.0233898925781516E-2</v>
      </c>
      <c r="D65" s="20">
        <f>(INDEX('02_Plan'!$C$69:$N$69,B65)+INDEX('02_Plan'!$C$71:$N$71,B65)-INDEX('02_Plan'!$C$70:$N$70,B65))*(1+$B$4)^INT((A65-1)/12)</f>
        <v>16.020482491726348</v>
      </c>
      <c r="E65" s="20">
        <f>C65-(D65-D64)-$B$6/12+MAX(0,F64-'02_Plan'!$B$26)*'02_Plan'!$B$25/12</f>
        <v>-2.0094039632161418</v>
      </c>
      <c r="F65" s="20">
        <f t="shared" si="8"/>
        <v>-11.20684943751867</v>
      </c>
      <c r="G65" s="20">
        <f t="shared" si="9"/>
        <v>2.6057556690755574</v>
      </c>
      <c r="H65" s="23">
        <f t="shared" si="6"/>
        <v>54</v>
      </c>
      <c r="I65" s="23">
        <f t="shared" si="7"/>
        <v>54</v>
      </c>
    </row>
    <row r="66" spans="1:9" x14ac:dyDescent="0.35">
      <c r="A66" s="14">
        <v>55</v>
      </c>
      <c r="B66" s="23">
        <f t="shared" si="5"/>
        <v>7</v>
      </c>
      <c r="C66" s="20">
        <f>INDEX('02_Plan'!$C$59:$N$59,B66)*(1+$B$4)^INT((A66-1)/12)-INDEX('02_Plan'!$C$60:$N$60,B66)-'02_Plan'!$N$63-'02_Plan'!$N$64</f>
        <v>-0.54339619140624995</v>
      </c>
      <c r="D66" s="20">
        <f>(INDEX('02_Plan'!$C$69:$N$69,B66)+INDEX('02_Plan'!$C$71:$N$71,B66)-INDEX('02_Plan'!$C$70:$N$70,B66))*(1+$B$4)^INT((A66-1)/12)</f>
        <v>17.656682991536456</v>
      </c>
      <c r="E66" s="20">
        <f>C66-(D66-D65)-$B$6/12+MAX(0,F65-'02_Plan'!$B$26)*'02_Plan'!$B$25/12</f>
        <v>-2.2462633578830253</v>
      </c>
      <c r="F66" s="20">
        <f t="shared" si="8"/>
        <v>-13.453112795401696</v>
      </c>
      <c r="G66" s="20">
        <f t="shared" si="9"/>
        <v>2.0623594776693075</v>
      </c>
      <c r="H66" s="23">
        <f t="shared" si="6"/>
        <v>55</v>
      </c>
      <c r="I66" s="23">
        <f t="shared" si="7"/>
        <v>55</v>
      </c>
    </row>
    <row r="67" spans="1:9" x14ac:dyDescent="0.35">
      <c r="A67" s="14">
        <v>56</v>
      </c>
      <c r="B67" s="23">
        <f t="shared" si="5"/>
        <v>8</v>
      </c>
      <c r="C67" s="20">
        <f>INDEX('02_Plan'!$C$59:$N$59,B67)*(1+$B$4)^INT((A67-1)/12)-INDEX('02_Plan'!$C$60:$N$60,B67)-'02_Plan'!$N$63-'02_Plan'!$N$64</f>
        <v>-0.13065637207031225</v>
      </c>
      <c r="D67" s="20">
        <f>(INDEX('02_Plan'!$C$69:$N$69,B67)+INDEX('02_Plan'!$C$71:$N$71,B67)-INDEX('02_Plan'!$C$70:$N$70,B67))*(1+$B$4)^INT((A67-1)/12)</f>
        <v>17.133821404351131</v>
      </c>
      <c r="E67" s="20">
        <f>C67-(D67-D66)-$B$6/12+MAX(0,F66-'02_Plan'!$B$26)*'02_Plan'!$B$25/12</f>
        <v>0.32553854844834618</v>
      </c>
      <c r="F67" s="20">
        <f t="shared" si="8"/>
        <v>-13.127574246953349</v>
      </c>
      <c r="G67" s="20">
        <f t="shared" si="9"/>
        <v>1.9317031055989953</v>
      </c>
      <c r="H67" s="23">
        <f t="shared" si="6"/>
        <v>56</v>
      </c>
      <c r="I67" s="23">
        <f t="shared" si="7"/>
        <v>56</v>
      </c>
    </row>
    <row r="68" spans="1:9" x14ac:dyDescent="0.35">
      <c r="A68" s="14">
        <v>57</v>
      </c>
      <c r="B68" s="23">
        <f t="shared" si="5"/>
        <v>9</v>
      </c>
      <c r="C68" s="20">
        <f>INDEX('02_Plan'!$C$59:$N$59,B68)*(1+$B$4)^INT((A68-1)/12)-INDEX('02_Plan'!$C$60:$N$60,B68)-'02_Plan'!$N$63-'02_Plan'!$N$64</f>
        <v>-3.8556070963540884E-2</v>
      </c>
      <c r="D68" s="20">
        <f>(INDEX('02_Plan'!$C$69:$N$69,B68)+INDEX('02_Plan'!$C$71:$N$71,B68)-INDEX('02_Plan'!$C$70:$N$70,B68))*(1+$B$4)^INT((A68-1)/12)</f>
        <v>13.537231486002606</v>
      </c>
      <c r="E68" s="20">
        <f>C68-(D68-D67)-$B$6/12+MAX(0,F67-'02_Plan'!$B$26)*'02_Plan'!$B$25/12</f>
        <v>3.491367180718318</v>
      </c>
      <c r="F68" s="20">
        <f t="shared" si="8"/>
        <v>-9.6362070662350305</v>
      </c>
      <c r="G68" s="20">
        <f t="shared" si="9"/>
        <v>1.8931470346354544</v>
      </c>
      <c r="H68" s="23">
        <f t="shared" si="6"/>
        <v>57</v>
      </c>
      <c r="I68" s="23">
        <f t="shared" si="7"/>
        <v>57</v>
      </c>
    </row>
    <row r="69" spans="1:9" x14ac:dyDescent="0.35">
      <c r="A69" s="14">
        <v>58</v>
      </c>
      <c r="B69" s="23">
        <f t="shared" si="5"/>
        <v>10</v>
      </c>
      <c r="C69" s="20">
        <f>INDEX('02_Plan'!$C$59:$N$59,B69)*(1+$B$4)^INT((A69-1)/12)-INDEX('02_Plan'!$C$60:$N$60,B69)-'02_Plan'!$N$63-'02_Plan'!$N$64</f>
        <v>-0.10734604085286373</v>
      </c>
      <c r="D69" s="20">
        <f>(INDEX('02_Plan'!$C$69:$N$69,B69)+INDEX('02_Plan'!$C$71:$N$71,B69)-INDEX('02_Plan'!$C$70:$N$70,B69))*(1+$B$4)^INT((A69-1)/12)</f>
        <v>12.882806435139974</v>
      </c>
      <c r="E69" s="20">
        <f>C69-(D69-D68)-$B$6/12+MAX(0,F68-'02_Plan'!$B$26)*'02_Plan'!$B$25/12</f>
        <v>0.4804123433431009</v>
      </c>
      <c r="F69" s="20">
        <f t="shared" si="8"/>
        <v>-9.1557947228919296</v>
      </c>
      <c r="G69" s="20">
        <f t="shared" si="9"/>
        <v>1.7858009937825907</v>
      </c>
      <c r="H69" s="23">
        <f t="shared" si="6"/>
        <v>58</v>
      </c>
      <c r="I69" s="23">
        <f t="shared" si="7"/>
        <v>58</v>
      </c>
    </row>
    <row r="70" spans="1:9" x14ac:dyDescent="0.35">
      <c r="A70" s="14">
        <v>59</v>
      </c>
      <c r="B70" s="23">
        <f t="shared" si="5"/>
        <v>11</v>
      </c>
      <c r="C70" s="20">
        <f>INDEX('02_Plan'!$C$59:$N$59,B70)*(1+$B$4)^INT((A70-1)/12)-INDEX('02_Plan'!$C$60:$N$60,B70)-'02_Plan'!$N$63-'02_Plan'!$N$64</f>
        <v>-0.1761360107421869</v>
      </c>
      <c r="D70" s="20">
        <f>(INDEX('02_Plan'!$C$69:$N$69,B70)+INDEX('02_Plan'!$C$71:$N$71,B70)-INDEX('02_Plan'!$C$70:$N$70,B70))*(1+$B$4)^INT((A70-1)/12)</f>
        <v>12.601326262749568</v>
      </c>
      <c r="E70" s="20">
        <f>C70-(D70-D69)-$B$6/12+MAX(0,F69-'02_Plan'!$B$26)*'02_Plan'!$B$25/12</f>
        <v>3.8677494981552554E-2</v>
      </c>
      <c r="F70" s="20">
        <f t="shared" si="8"/>
        <v>-9.1171172279103772</v>
      </c>
      <c r="G70" s="20">
        <f t="shared" si="9"/>
        <v>1.6096649830404037</v>
      </c>
      <c r="H70" s="23">
        <f t="shared" si="6"/>
        <v>59</v>
      </c>
      <c r="I70" s="23">
        <f t="shared" si="7"/>
        <v>59</v>
      </c>
    </row>
    <row r="71" spans="1:9" x14ac:dyDescent="0.35">
      <c r="A71" s="14">
        <v>60</v>
      </c>
      <c r="B71" s="23">
        <f t="shared" si="5"/>
        <v>12</v>
      </c>
      <c r="C71" s="20">
        <f>INDEX('02_Plan'!$C$59:$N$59,B71)*(1+$B$4)^INT((A71-1)/12)-INDEX('02_Plan'!$C$60:$N$60,B71)-'02_Plan'!$N$63-'02_Plan'!$N$64</f>
        <v>-0.10734604085286373</v>
      </c>
      <c r="D71" s="20">
        <f>(INDEX('02_Plan'!$C$69:$N$69,B71)+INDEX('02_Plan'!$C$71:$N$71,B71)-INDEX('02_Plan'!$C$70:$N$70,B71))*(1+$B$4)^INT((A71-1)/12)</f>
        <v>12.422109820556644</v>
      </c>
      <c r="E71" s="20">
        <f>C71-(D71-D70)-$B$6/12+MAX(0,F70-'02_Plan'!$B$26)*'02_Plan'!$B$25/12</f>
        <v>5.2037346733939255E-3</v>
      </c>
      <c r="F71" s="20">
        <f t="shared" si="8"/>
        <v>-9.1119134932369832</v>
      </c>
      <c r="G71" s="20">
        <f t="shared" si="9"/>
        <v>1.50231894218754</v>
      </c>
      <c r="H71" s="23">
        <f t="shared" si="6"/>
        <v>60</v>
      </c>
      <c r="I71" s="23">
        <f t="shared" si="7"/>
        <v>60</v>
      </c>
    </row>
    <row r="72" spans="1:9" x14ac:dyDescent="0.35">
      <c r="A72" s="14">
        <v>61</v>
      </c>
      <c r="B72" s="23">
        <f t="shared" si="5"/>
        <v>1</v>
      </c>
      <c r="C72" s="20">
        <f>INDEX('02_Plan'!$C$59:$N$59,B72)*(1+$B$4)^INT((A72-1)/12)-INDEX('02_Plan'!$C$60:$N$60,B72)-'02_Plan'!$N$63-'02_Plan'!$N$64</f>
        <v>1.655024210611894E-3</v>
      </c>
      <c r="D72" s="20">
        <f>(INDEX('02_Plan'!$C$69:$N$69,B72)+INDEX('02_Plan'!$C$71:$N$71,B72)-INDEX('02_Plan'!$C$70:$N$70,B72))*(1+$B$4)^INT((A72-1)/12)</f>
        <v>12.607607938999076</v>
      </c>
      <c r="E72" s="20">
        <f>C72-(D72-D71)-$B$6/12+MAX(0,F71-'02_Plan'!$B$26)*'02_Plan'!$B$25/12</f>
        <v>-0.25050976089848659</v>
      </c>
      <c r="F72" s="20">
        <f t="shared" si="8"/>
        <v>-9.3624232541354697</v>
      </c>
      <c r="G72" s="20">
        <f t="shared" si="9"/>
        <v>1.503973966398152</v>
      </c>
      <c r="H72" s="23">
        <f t="shared" si="6"/>
        <v>61</v>
      </c>
      <c r="I72" s="23">
        <f t="shared" si="7"/>
        <v>61</v>
      </c>
    </row>
    <row r="73" spans="1:9" x14ac:dyDescent="0.35">
      <c r="A73" s="14">
        <v>62</v>
      </c>
      <c r="B73" s="23">
        <f t="shared" si="5"/>
        <v>2</v>
      </c>
      <c r="C73" s="20">
        <f>INDEX('02_Plan'!$C$59:$N$59,B73)*(1+$B$4)^INT((A73-1)/12)-INDEX('02_Plan'!$C$60:$N$60,B73)-'02_Plan'!$N$63-'02_Plan'!$N$64</f>
        <v>1.655024210611894E-3</v>
      </c>
      <c r="D73" s="20">
        <f>(INDEX('02_Plan'!$C$69:$N$69,B73)+INDEX('02_Plan'!$C$71:$N$71,B73)-INDEX('02_Plan'!$C$70:$N$70,B73))*(1+$B$4)^INT((A73-1)/12)</f>
        <v>13.511577903747552</v>
      </c>
      <c r="E73" s="20">
        <f>C73-(D73-D72)-$B$6/12+MAX(0,F72-'02_Plan'!$B$26)*'02_Plan'!$B$25/12</f>
        <v>-0.96898160720453141</v>
      </c>
      <c r="F73" s="20">
        <f t="shared" si="8"/>
        <v>-10.331404861340001</v>
      </c>
      <c r="G73" s="20">
        <f t="shared" si="9"/>
        <v>1.5056289906087639</v>
      </c>
      <c r="H73" s="23">
        <f t="shared" si="6"/>
        <v>62</v>
      </c>
      <c r="I73" s="23">
        <f t="shared" si="7"/>
        <v>62</v>
      </c>
    </row>
    <row r="74" spans="1:9" x14ac:dyDescent="0.35">
      <c r="A74" s="14">
        <v>63</v>
      </c>
      <c r="B74" s="23">
        <f t="shared" si="5"/>
        <v>3</v>
      </c>
      <c r="C74" s="20">
        <f>INDEX('02_Plan'!$C$59:$N$59,B74)*(1+$B$4)^INT((A74-1)/12)-INDEX('02_Plan'!$C$60:$N$60,B74)-'02_Plan'!$N$63-'02_Plan'!$N$64</f>
        <v>8.7642486572266448E-2</v>
      </c>
      <c r="D74" s="20">
        <f>(INDEX('02_Plan'!$C$69:$N$69,B74)+INDEX('02_Plan'!$C$71:$N$71,B74)-INDEX('02_Plan'!$C$70:$N$70,B74))*(1+$B$4)^INT((A74-1)/12)</f>
        <v>15.624517528957789</v>
      </c>
      <c r="E74" s="20">
        <f>C74-(D74-D73)-$B$6/12+MAX(0,F73-'02_Plan'!$B$26)*'02_Plan'!$B$25/12</f>
        <v>-2.091963805304637</v>
      </c>
      <c r="F74" s="20">
        <f t="shared" si="8"/>
        <v>-12.423368666644638</v>
      </c>
      <c r="G74" s="20">
        <f t="shared" si="9"/>
        <v>1.5932714771810303</v>
      </c>
      <c r="H74" s="23">
        <f t="shared" si="6"/>
        <v>63</v>
      </c>
      <c r="I74" s="23">
        <f t="shared" si="7"/>
        <v>63</v>
      </c>
    </row>
    <row r="75" spans="1:9" x14ac:dyDescent="0.35">
      <c r="A75" s="14">
        <v>64</v>
      </c>
      <c r="B75" s="23">
        <f t="shared" si="5"/>
        <v>4</v>
      </c>
      <c r="C75" s="20">
        <f>INDEX('02_Plan'!$C$59:$N$59,B75)*(1+$B$4)^INT((A75-1)/12)-INDEX('02_Plan'!$C$60:$N$60,B75)-'02_Plan'!$N$63-'02_Plan'!$N$64</f>
        <v>8.7642486572266448E-2</v>
      </c>
      <c r="D75" s="20">
        <f>(INDEX('02_Plan'!$C$69:$N$69,B75)+INDEX('02_Plan'!$C$71:$N$71,B75)-INDEX('02_Plan'!$C$70:$N$70,B75))*(1+$B$4)^INT((A75-1)/12)</f>
        <v>16.180444720798072</v>
      </c>
      <c r="E75" s="20">
        <f>C75-(D75-D74)-$B$6/12+MAX(0,F74-'02_Plan'!$B$26)*'02_Plan'!$B$25/12</f>
        <v>-0.53495137193468301</v>
      </c>
      <c r="F75" s="20">
        <f t="shared" si="8"/>
        <v>-12.958320038579322</v>
      </c>
      <c r="G75" s="20">
        <f t="shared" si="9"/>
        <v>1.6809139637532968</v>
      </c>
      <c r="H75" s="23">
        <f t="shared" si="6"/>
        <v>64</v>
      </c>
      <c r="I75" s="23">
        <f t="shared" si="7"/>
        <v>64</v>
      </c>
    </row>
    <row r="76" spans="1:9" x14ac:dyDescent="0.35">
      <c r="A76" s="14">
        <v>65</v>
      </c>
      <c r="B76" s="23">
        <f t="shared" ref="B76:B107" si="10">MOD(A76-1,12)+1</f>
        <v>5</v>
      </c>
      <c r="C76" s="20">
        <f>INDEX('02_Plan'!$C$59:$N$59,B76)*(1+$B$4)^INT((A76-1)/12)-INDEX('02_Plan'!$C$60:$N$60,B76)-'02_Plan'!$N$63-'02_Plan'!$N$64</f>
        <v>0.17362994893392011</v>
      </c>
      <c r="D76" s="20">
        <f>(INDEX('02_Plan'!$C$69:$N$69,B76)+INDEX('02_Plan'!$C$71:$N$71,B76)-INDEX('02_Plan'!$C$70:$N$70,B76))*(1+$B$4)^INT((A76-1)/12)</f>
        <v>17.559389120313863</v>
      </c>
      <c r="E76" s="20">
        <f>C76-(D76-D75)-$B$6/12+MAX(0,F75-'02_Plan'!$B$26)*'02_Plan'!$B$25/12</f>
        <v>-1.2719811172485382</v>
      </c>
      <c r="F76" s="20">
        <f t="shared" si="8"/>
        <v>-14.23030115582786</v>
      </c>
      <c r="G76" s="20">
        <f t="shared" si="9"/>
        <v>1.854543912687217</v>
      </c>
      <c r="H76" s="23">
        <f t="shared" ref="H76:H83" si="11">IF(F76&lt;$B$5,A76,"")</f>
        <v>65</v>
      </c>
      <c r="I76" s="23">
        <f t="shared" ref="I76:I83" si="12">IF(G76&lt;$B$5,A76,"")</f>
        <v>65</v>
      </c>
    </row>
    <row r="77" spans="1:9" x14ac:dyDescent="0.35">
      <c r="A77" s="14">
        <v>66</v>
      </c>
      <c r="B77" s="23">
        <f t="shared" si="10"/>
        <v>6</v>
      </c>
      <c r="C77" s="20">
        <f>INDEX('02_Plan'!$C$59:$N$59,B77)*(1+$B$4)^INT((A77-1)/12)-INDEX('02_Plan'!$C$60:$N$60,B77)-'02_Plan'!$N$63-'02_Plan'!$N$64</f>
        <v>0.34560487365722703</v>
      </c>
      <c r="D77" s="20">
        <f>(INDEX('02_Plan'!$C$69:$N$69,B77)+INDEX('02_Plan'!$C$71:$N$71,B77)-INDEX('02_Plan'!$C$70:$N$70,B77))*(1+$B$4)^INT((A77-1)/12)</f>
        <v>20.025603114657933</v>
      </c>
      <c r="E77" s="20">
        <f>C77-(D77-D76)-$B$6/12+MAX(0,F76-'02_Plan'!$B$26)*'02_Plan'!$B$25/12</f>
        <v>-2.1872757873535096</v>
      </c>
      <c r="F77" s="20">
        <f t="shared" ref="F77:F108" si="13">F76+E77</f>
        <v>-16.41757694318137</v>
      </c>
      <c r="G77" s="20">
        <f t="shared" ref="G77:G83" si="14">G76+C77</f>
        <v>2.2001487863444442</v>
      </c>
      <c r="H77" s="23">
        <f t="shared" si="11"/>
        <v>66</v>
      </c>
      <c r="I77" s="23">
        <f t="shared" si="12"/>
        <v>66</v>
      </c>
    </row>
    <row r="78" spans="1:9" x14ac:dyDescent="0.35">
      <c r="A78" s="14">
        <v>67</v>
      </c>
      <c r="B78" s="23">
        <f t="shared" si="10"/>
        <v>7</v>
      </c>
      <c r="C78" s="20">
        <f>INDEX('02_Plan'!$C$59:$N$59,B78)*(1+$B$4)^INT((A78-1)/12)-INDEX('02_Plan'!$C$60:$N$60,B78)-'02_Plan'!$N$63-'02_Plan'!$N$64</f>
        <v>-0.17643273925781247</v>
      </c>
      <c r="D78" s="20">
        <f>(INDEX('02_Plan'!$C$69:$N$69,B78)+INDEX('02_Plan'!$C$71:$N$71,B78)-INDEX('02_Plan'!$C$70:$N$70,B78))*(1+$B$4)^INT((A78-1)/12)</f>
        <v>22.070853739420571</v>
      </c>
      <c r="E78" s="20">
        <f>C78-(D78-D77)-$B$6/12+MAX(0,F77-'02_Plan'!$B$26)*'02_Plan'!$B$25/12</f>
        <v>-2.2883500306871167</v>
      </c>
      <c r="F78" s="20">
        <f t="shared" si="13"/>
        <v>-18.705926973868486</v>
      </c>
      <c r="G78" s="20">
        <f t="shared" si="14"/>
        <v>2.0237160470866318</v>
      </c>
      <c r="H78" s="23">
        <f t="shared" si="11"/>
        <v>67</v>
      </c>
      <c r="I78" s="23">
        <f t="shared" si="12"/>
        <v>67</v>
      </c>
    </row>
    <row r="79" spans="1:9" x14ac:dyDescent="0.35">
      <c r="A79" s="14">
        <v>68</v>
      </c>
      <c r="B79" s="23">
        <f t="shared" si="10"/>
        <v>8</v>
      </c>
      <c r="C79" s="20">
        <f>INDEX('02_Plan'!$C$59:$N$59,B79)*(1+$B$4)^INT((A79-1)/12)-INDEX('02_Plan'!$C$60:$N$60,B79)-'02_Plan'!$N$63-'02_Plan'!$N$64</f>
        <v>0.33949203491210977</v>
      </c>
      <c r="D79" s="20">
        <f>(INDEX('02_Plan'!$C$69:$N$69,B79)+INDEX('02_Plan'!$C$71:$N$71,B79)-INDEX('02_Plan'!$C$70:$N$70,B79))*(1+$B$4)^INT((A79-1)/12)</f>
        <v>21.417276755438913</v>
      </c>
      <c r="E79" s="20">
        <f>C79-(D79-D78)-$B$6/12+MAX(0,F78-'02_Plan'!$B$26)*'02_Plan'!$B$25/12</f>
        <v>0.92640235222710121</v>
      </c>
      <c r="F79" s="20">
        <f t="shared" si="13"/>
        <v>-17.779524621641386</v>
      </c>
      <c r="G79" s="20">
        <f t="shared" si="14"/>
        <v>2.3632080819987413</v>
      </c>
      <c r="H79" s="23">
        <f t="shared" si="11"/>
        <v>68</v>
      </c>
      <c r="I79" s="23">
        <f t="shared" si="12"/>
        <v>68</v>
      </c>
    </row>
    <row r="80" spans="1:9" x14ac:dyDescent="0.35">
      <c r="A80" s="14">
        <v>69</v>
      </c>
      <c r="B80" s="23">
        <f t="shared" si="10"/>
        <v>9</v>
      </c>
      <c r="C80" s="20">
        <f>INDEX('02_Plan'!$C$59:$N$59,B80)*(1+$B$4)^INT((A80-1)/12)-INDEX('02_Plan'!$C$60:$N$60,B80)-'02_Plan'!$N$63-'02_Plan'!$N$64</f>
        <v>0.25961741129557381</v>
      </c>
      <c r="D80" s="20">
        <f>(INDEX('02_Plan'!$C$69:$N$69,B80)+INDEX('02_Plan'!$C$71:$N$71,B80)-INDEX('02_Plan'!$C$70:$N$70,B80))*(1+$B$4)^INT((A80-1)/12)</f>
        <v>16.921539357503256</v>
      </c>
      <c r="E80" s="20">
        <f>C80-(D80-D79)-$B$6/12+MAX(0,F79-'02_Plan'!$B$26)*'02_Plan'!$B$25/12</f>
        <v>4.6886881425645637</v>
      </c>
      <c r="F80" s="20">
        <f t="shared" si="13"/>
        <v>-13.090836479076822</v>
      </c>
      <c r="G80" s="20">
        <f t="shared" si="14"/>
        <v>2.6228254932943154</v>
      </c>
      <c r="H80" s="23">
        <f t="shared" si="11"/>
        <v>69</v>
      </c>
      <c r="I80" s="23">
        <f t="shared" si="12"/>
        <v>69</v>
      </c>
    </row>
    <row r="81" spans="1:9" x14ac:dyDescent="0.35">
      <c r="A81" s="14">
        <v>70</v>
      </c>
      <c r="B81" s="23">
        <f t="shared" si="10"/>
        <v>10</v>
      </c>
      <c r="C81" s="20">
        <f>INDEX('02_Plan'!$C$59:$N$59,B81)*(1+$B$4)^INT((A81-1)/12)-INDEX('02_Plan'!$C$60:$N$60,B81)-'02_Plan'!$N$63-'02_Plan'!$N$64</f>
        <v>0.17362994893392011</v>
      </c>
      <c r="D81" s="20">
        <f>(INDEX('02_Plan'!$C$69:$N$69,B81)+INDEX('02_Plan'!$C$71:$N$71,B81)-INDEX('02_Plan'!$C$70:$N$70,B81))*(1+$B$4)^INT((A81-1)/12)</f>
        <v>16.103508043924968</v>
      </c>
      <c r="E81" s="20">
        <f>C81-(D81-D80)-$B$6/12+MAX(0,F80-'02_Plan'!$B$26)*'02_Plan'!$B$25/12</f>
        <v>0.92499459584554167</v>
      </c>
      <c r="F81" s="20">
        <f t="shared" si="13"/>
        <v>-12.16584188323128</v>
      </c>
      <c r="G81" s="20">
        <f t="shared" si="14"/>
        <v>2.7964554422282353</v>
      </c>
      <c r="H81" s="23">
        <f t="shared" si="11"/>
        <v>70</v>
      </c>
      <c r="I81" s="23">
        <f t="shared" si="12"/>
        <v>70</v>
      </c>
    </row>
    <row r="82" spans="1:9" x14ac:dyDescent="0.35">
      <c r="A82" s="14">
        <v>71</v>
      </c>
      <c r="B82" s="23">
        <f t="shared" si="10"/>
        <v>11</v>
      </c>
      <c r="C82" s="20">
        <f>INDEX('02_Plan'!$C$59:$N$59,B82)*(1+$B$4)^INT((A82-1)/12)-INDEX('02_Plan'!$C$60:$N$60,B82)-'02_Plan'!$N$63-'02_Plan'!$N$64</f>
        <v>8.7642486572266448E-2</v>
      </c>
      <c r="D82" s="20">
        <f>(INDEX('02_Plan'!$C$69:$N$69,B82)+INDEX('02_Plan'!$C$71:$N$71,B82)-INDEX('02_Plan'!$C$70:$N$70,B82))*(1+$B$4)^INT((A82-1)/12)</f>
        <v>15.75165782843696</v>
      </c>
      <c r="E82" s="20">
        <f>C82-(D82-D81)-$B$6/12+MAX(0,F81-'02_Plan'!$B$26)*'02_Plan'!$B$25/12</f>
        <v>0.37282603539360837</v>
      </c>
      <c r="F82" s="20">
        <f t="shared" si="13"/>
        <v>-11.793015847837673</v>
      </c>
      <c r="G82" s="20">
        <f t="shared" si="14"/>
        <v>2.8840979288005015</v>
      </c>
      <c r="H82" s="23">
        <f t="shared" si="11"/>
        <v>71</v>
      </c>
      <c r="I82" s="23">
        <f t="shared" si="12"/>
        <v>71</v>
      </c>
    </row>
    <row r="83" spans="1:9" x14ac:dyDescent="0.35">
      <c r="A83" s="14">
        <v>72</v>
      </c>
      <c r="B83" s="23">
        <f t="shared" si="10"/>
        <v>12</v>
      </c>
      <c r="C83" s="20">
        <f>INDEX('02_Plan'!$C$59:$N$59,B83)*(1+$B$4)^INT((A83-1)/12)-INDEX('02_Plan'!$C$60:$N$60,B83)-'02_Plan'!$N$63-'02_Plan'!$N$64</f>
        <v>0.17362994893392011</v>
      </c>
      <c r="D83" s="20">
        <f>(INDEX('02_Plan'!$C$69:$N$69,B83)+INDEX('02_Plan'!$C$71:$N$71,B83)-INDEX('02_Plan'!$C$70:$N$70,B83))*(1+$B$4)^INT((A83-1)/12)</f>
        <v>15.527637275695804</v>
      </c>
      <c r="E83" s="20">
        <f>C83-(D83-D82)-$B$6/12+MAX(0,F82-'02_Plan'!$B$26)*'02_Plan'!$B$25/12</f>
        <v>0.33098383500840889</v>
      </c>
      <c r="F83" s="20">
        <f t="shared" si="13"/>
        <v>-11.462032012829264</v>
      </c>
      <c r="G83" s="20">
        <f t="shared" si="14"/>
        <v>3.0577278777344215</v>
      </c>
      <c r="H83" s="23">
        <f t="shared" si="11"/>
        <v>72</v>
      </c>
      <c r="I83" s="23">
        <f t="shared" si="12"/>
        <v>72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7"/>
  <sheetViews>
    <sheetView workbookViewId="0"/>
  </sheetViews>
  <sheetFormatPr defaultRowHeight="14.5" x14ac:dyDescent="0.35"/>
  <cols>
    <col min="1" max="1" width="32" customWidth="1"/>
    <col min="2" max="2" width="60" customWidth="1"/>
    <col min="3" max="3" width="70" customWidth="1"/>
  </cols>
  <sheetData>
    <row r="1" spans="1:3" ht="24" customHeight="1" x14ac:dyDescent="0.4">
      <c r="A1" s="1" t="s">
        <v>32</v>
      </c>
      <c r="B1" s="2"/>
      <c r="C1" s="2"/>
    </row>
    <row r="2" spans="1:3" x14ac:dyDescent="0.35">
      <c r="A2" s="3" t="s">
        <v>327</v>
      </c>
    </row>
    <row r="3" spans="1:3" x14ac:dyDescent="0.35">
      <c r="A3" s="9" t="s">
        <v>328</v>
      </c>
      <c r="B3" s="10" t="s">
        <v>230</v>
      </c>
      <c r="C3" s="10" t="s">
        <v>329</v>
      </c>
    </row>
    <row r="4" spans="1:3" x14ac:dyDescent="0.35">
      <c r="A4" s="11" t="s">
        <v>330</v>
      </c>
      <c r="B4" s="5" t="s">
        <v>331</v>
      </c>
      <c r="C4" s="5" t="s">
        <v>332</v>
      </c>
    </row>
    <row r="5" spans="1:3" x14ac:dyDescent="0.35">
      <c r="A5" s="11" t="s">
        <v>333</v>
      </c>
      <c r="B5" s="5" t="s">
        <v>334</v>
      </c>
      <c r="C5" s="5" t="s">
        <v>335</v>
      </c>
    </row>
    <row r="6" spans="1:3" x14ac:dyDescent="0.35">
      <c r="A6" s="11" t="s">
        <v>336</v>
      </c>
      <c r="B6" s="5" t="s">
        <v>337</v>
      </c>
      <c r="C6" s="5" t="s">
        <v>338</v>
      </c>
    </row>
    <row r="7" spans="1:3" x14ac:dyDescent="0.35">
      <c r="A7" s="11" t="s">
        <v>339</v>
      </c>
      <c r="B7" s="5" t="s">
        <v>340</v>
      </c>
      <c r="C7" s="5" t="s">
        <v>341</v>
      </c>
    </row>
    <row r="8" spans="1:3" x14ac:dyDescent="0.35">
      <c r="A8" s="11" t="s">
        <v>342</v>
      </c>
      <c r="B8" s="5" t="s">
        <v>340</v>
      </c>
      <c r="C8" s="5" t="s">
        <v>343</v>
      </c>
    </row>
    <row r="9" spans="1:3" x14ac:dyDescent="0.35">
      <c r="A9" s="11" t="s">
        <v>344</v>
      </c>
      <c r="B9" s="5" t="s">
        <v>345</v>
      </c>
      <c r="C9" s="5" t="s">
        <v>346</v>
      </c>
    </row>
    <row r="10" spans="1:3" x14ac:dyDescent="0.35">
      <c r="A10" s="11" t="s">
        <v>347</v>
      </c>
      <c r="B10" s="5" t="s">
        <v>348</v>
      </c>
      <c r="C10" s="5" t="s">
        <v>349</v>
      </c>
    </row>
    <row r="11" spans="1:3" x14ac:dyDescent="0.35">
      <c r="A11" s="11" t="s">
        <v>350</v>
      </c>
      <c r="B11" s="5" t="s">
        <v>351</v>
      </c>
      <c r="C11" s="5" t="s">
        <v>352</v>
      </c>
    </row>
    <row r="13" spans="1:3" x14ac:dyDescent="0.35">
      <c r="A13" s="4" t="s">
        <v>353</v>
      </c>
    </row>
    <row r="14" spans="1:3" ht="25" x14ac:dyDescent="0.35">
      <c r="A14" s="11" t="s">
        <v>354</v>
      </c>
      <c r="B14" s="5" t="s">
        <v>355</v>
      </c>
    </row>
    <row r="15" spans="1:3" ht="25" x14ac:dyDescent="0.35">
      <c r="A15" s="11" t="s">
        <v>252</v>
      </c>
      <c r="B15" s="5" t="s">
        <v>356</v>
      </c>
    </row>
    <row r="16" spans="1:3" ht="25" x14ac:dyDescent="0.35">
      <c r="A16" s="11" t="s">
        <v>253</v>
      </c>
      <c r="B16" s="5" t="s">
        <v>357</v>
      </c>
    </row>
    <row r="17" spans="1:2" ht="25" x14ac:dyDescent="0.35">
      <c r="A17" s="11" t="s">
        <v>358</v>
      </c>
      <c r="B17" s="5" t="s">
        <v>359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"/>
  <sheetViews>
    <sheetView workbookViewId="0"/>
  </sheetViews>
  <sheetFormatPr defaultRowHeight="14.5" x14ac:dyDescent="0.35"/>
  <cols>
    <col min="1" max="1" width="40" customWidth="1"/>
    <col min="2" max="3" width="16" customWidth="1"/>
    <col min="4" max="4" width="14" customWidth="1"/>
    <col min="5" max="6" width="12" customWidth="1"/>
  </cols>
  <sheetData>
    <row r="1" spans="1:6" ht="24" customHeight="1" x14ac:dyDescent="0.4">
      <c r="A1" s="1" t="s">
        <v>360</v>
      </c>
      <c r="B1" s="2"/>
      <c r="C1" s="2"/>
      <c r="D1" s="2"/>
      <c r="E1" s="2"/>
      <c r="F1" s="2"/>
    </row>
    <row r="2" spans="1:6" x14ac:dyDescent="0.35">
      <c r="A2" s="3" t="s">
        <v>361</v>
      </c>
    </row>
    <row r="3" spans="1:6" x14ac:dyDescent="0.35">
      <c r="A3" s="9" t="s">
        <v>362</v>
      </c>
      <c r="B3" s="10" t="s">
        <v>363</v>
      </c>
      <c r="C3" s="10" t="s">
        <v>364</v>
      </c>
      <c r="D3" s="10" t="s">
        <v>365</v>
      </c>
      <c r="E3" s="10" t="s">
        <v>366</v>
      </c>
      <c r="F3" s="10" t="s">
        <v>367</v>
      </c>
    </row>
    <row r="4" spans="1:6" x14ac:dyDescent="0.35">
      <c r="A4" s="5" t="s">
        <v>155</v>
      </c>
      <c r="B4" s="15">
        <v>47.49</v>
      </c>
      <c r="C4" s="28">
        <f>'02_Plan'!B78</f>
        <v>47.489999999999995</v>
      </c>
      <c r="D4" s="20">
        <f t="shared" ref="D4:D13" si="0">IF(ISNUMBER(C4),C4-B4,"")</f>
        <v>-7.1054273576010019E-15</v>
      </c>
      <c r="E4" s="34" t="str">
        <f t="shared" ref="E4:E13" si="1">IF(NOT(ISNUMBER(C4)),"Not built",IF(ABS(D4)&lt;=F4+0.000000001,"Agrees","Check"))</f>
        <v>Agrees</v>
      </c>
      <c r="F4" s="15">
        <v>0.01</v>
      </c>
    </row>
    <row r="5" spans="1:6" x14ac:dyDescent="0.35">
      <c r="A5" s="5" t="s">
        <v>158</v>
      </c>
      <c r="B5" s="15">
        <v>-7.9977</v>
      </c>
      <c r="C5" s="28">
        <f>'02_Plan'!B81</f>
        <v>-7.9976707999999972</v>
      </c>
      <c r="D5" s="20">
        <f t="shared" si="0"/>
        <v>2.9200000002838067E-5</v>
      </c>
      <c r="E5" s="34" t="str">
        <f t="shared" si="1"/>
        <v>Agrees</v>
      </c>
      <c r="F5" s="15">
        <v>0.01</v>
      </c>
    </row>
    <row r="6" spans="1:6" x14ac:dyDescent="0.35">
      <c r="A6" s="5" t="s">
        <v>159</v>
      </c>
      <c r="B6" s="15">
        <v>9.2771000000000008</v>
      </c>
      <c r="C6" s="28">
        <f>'02_Plan'!B82</f>
        <v>9.2771056309042912</v>
      </c>
      <c r="D6" s="20">
        <f t="shared" si="0"/>
        <v>5.6309042903990303E-6</v>
      </c>
      <c r="E6" s="34" t="str">
        <f t="shared" si="1"/>
        <v>Agrees</v>
      </c>
      <c r="F6" s="15">
        <v>0.01</v>
      </c>
    </row>
    <row r="7" spans="1:6" x14ac:dyDescent="0.35">
      <c r="A7" s="5" t="s">
        <v>160</v>
      </c>
      <c r="B7" s="15">
        <v>23.312899999999999</v>
      </c>
      <c r="C7" s="28">
        <f>'02_Plan'!B83</f>
        <v>23.31289436909573</v>
      </c>
      <c r="D7" s="20">
        <f t="shared" si="0"/>
        <v>-5.6309042690827482E-6</v>
      </c>
      <c r="E7" s="34" t="str">
        <f t="shared" si="1"/>
        <v>Agrees</v>
      </c>
      <c r="F7" s="15">
        <v>0.01</v>
      </c>
    </row>
    <row r="8" spans="1:6" x14ac:dyDescent="0.35">
      <c r="A8" s="5" t="s">
        <v>283</v>
      </c>
      <c r="B8" s="15">
        <v>8.1471</v>
      </c>
      <c r="C8" s="28">
        <f>'04_13_Weeks'!B30</f>
        <v>8.1470929788812096</v>
      </c>
      <c r="D8" s="20">
        <f t="shared" si="0"/>
        <v>-7.0211187903623795E-6</v>
      </c>
      <c r="E8" s="34" t="str">
        <f t="shared" si="1"/>
        <v>Agrees</v>
      </c>
      <c r="F8" s="15">
        <v>0.01</v>
      </c>
    </row>
    <row r="9" spans="1:6" x14ac:dyDescent="0.35">
      <c r="A9" s="5" t="s">
        <v>286</v>
      </c>
      <c r="B9" s="15">
        <v>0.14710000000000001</v>
      </c>
      <c r="C9" s="28">
        <f>'04_13_Weeks'!B33</f>
        <v>0.14709297888120965</v>
      </c>
      <c r="D9" s="20">
        <f t="shared" si="0"/>
        <v>-7.0211187903623795E-6</v>
      </c>
      <c r="E9" s="34" t="str">
        <f t="shared" si="1"/>
        <v>Agrees</v>
      </c>
      <c r="F9" s="15">
        <v>0.01</v>
      </c>
    </row>
    <row r="10" spans="1:6" x14ac:dyDescent="0.35">
      <c r="A10" s="5" t="s">
        <v>368</v>
      </c>
      <c r="B10" s="15">
        <v>-0.185</v>
      </c>
      <c r="C10" s="28">
        <f>'05_Variance'!B18</f>
        <v>-0.18500345722222178</v>
      </c>
      <c r="D10" s="20">
        <f t="shared" si="0"/>
        <v>-3.45722222178102E-6</v>
      </c>
      <c r="E10" s="34" t="str">
        <f t="shared" si="1"/>
        <v>Agrees</v>
      </c>
      <c r="F10" s="15">
        <v>5.0000000000000001E-3</v>
      </c>
    </row>
    <row r="11" spans="1:6" x14ac:dyDescent="0.35">
      <c r="A11" s="5" t="s">
        <v>310</v>
      </c>
      <c r="B11" s="15">
        <v>-0.224</v>
      </c>
      <c r="C11" s="28">
        <f>'05_Variance'!B25</f>
        <v>-0.22396989666666611</v>
      </c>
      <c r="D11" s="20">
        <f t="shared" si="0"/>
        <v>3.0103333333891813E-5</v>
      </c>
      <c r="E11" s="34" t="str">
        <f t="shared" si="1"/>
        <v>Agrees</v>
      </c>
      <c r="F11" s="15">
        <v>5.0000000000000001E-3</v>
      </c>
    </row>
    <row r="12" spans="1:6" x14ac:dyDescent="0.35">
      <c r="A12" s="5" t="s">
        <v>319</v>
      </c>
      <c r="B12" s="14">
        <v>31</v>
      </c>
      <c r="C12" s="27">
        <f>'06_Runway'!B8</f>
        <v>31</v>
      </c>
      <c r="D12" s="23">
        <f t="shared" si="0"/>
        <v>0</v>
      </c>
      <c r="E12" s="34" t="str">
        <f t="shared" si="1"/>
        <v>Agrees</v>
      </c>
      <c r="F12" s="14">
        <v>0</v>
      </c>
    </row>
    <row r="13" spans="1:6" x14ac:dyDescent="0.35">
      <c r="A13" s="5" t="s">
        <v>320</v>
      </c>
      <c r="B13" s="14">
        <v>44</v>
      </c>
      <c r="C13" s="27">
        <f>'06_Runway'!B9</f>
        <v>44</v>
      </c>
      <c r="D13" s="23">
        <f t="shared" si="0"/>
        <v>0</v>
      </c>
      <c r="E13" s="34" t="str">
        <f t="shared" si="1"/>
        <v>Agrees</v>
      </c>
      <c r="F13" s="1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ReadMe</vt:lpstr>
      <vt:lpstr>01_Case</vt:lpstr>
      <vt:lpstr>02_Plan</vt:lpstr>
      <vt:lpstr>03_Days</vt:lpstr>
      <vt:lpstr>04_13_Weeks</vt:lpstr>
      <vt:lpstr>05_Variance</vt:lpstr>
      <vt:lpstr>06_Runway</vt:lpstr>
      <vt:lpstr>07_Spec</vt:lpstr>
      <vt:lpstr>08_Answer_Check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Anbuselvan A S</cp:lastModifiedBy>
  <dcterms:created xsi:type="dcterms:W3CDTF">2026-09-24T22:19:59Z</dcterms:created>
  <dcterms:modified xsi:type="dcterms:W3CDTF">2026-09-24T22:20:01Z</dcterms:modified>
</cp:coreProperties>
</file>