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buselvan\Projects\Dissent Courses\studio\public\courses\diligence-readiness\"/>
    </mc:Choice>
  </mc:AlternateContent>
  <xr:revisionPtr revIDLastSave="0" documentId="13_ncr:1_{C4E0C988-2F2E-4D27-9E2E-AC843656F872}" xr6:coauthVersionLast="47" xr6:coauthVersionMax="47" xr10:uidLastSave="{00000000-0000-0000-0000-000000000000}"/>
  <bookViews>
    <workbookView xWindow="2280" yWindow="2280" windowWidth="14400" windowHeight="8170" xr2:uid="{00000000-000D-0000-FFFF-FFFF00000000}"/>
  </bookViews>
  <sheets>
    <sheet name="ReadMe" sheetId="1" r:id="rId1"/>
    <sheet name="01_Checklist" sheetId="2" r:id="rId2"/>
    <sheet name="02_Request_Load" sheetId="3" r:id="rId3"/>
    <sheet name="03_Heatmap" sheetId="4" r:id="rId4"/>
    <sheet name="04_Triage" sheetId="5" r:id="rId5"/>
    <sheet name="05_Remediation" sheetId="6" r:id="rId6"/>
    <sheet name="06_Critical_Path" sheetId="7" r:id="rId7"/>
    <sheet name="07_Report" sheetId="8" r:id="rId8"/>
    <sheet name="08_AI_Spec" sheetId="9" r:id="rId9"/>
    <sheet name="09_Answer_Check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2" i="8" l="1"/>
  <c r="A92" i="8"/>
  <c r="D92" i="8" s="1"/>
  <c r="E92" i="8" s="1"/>
  <c r="C91" i="8"/>
  <c r="A91" i="8"/>
  <c r="D91" i="8" s="1"/>
  <c r="E91" i="8" s="1"/>
  <c r="C90" i="8"/>
  <c r="A90" i="8"/>
  <c r="D90" i="8" s="1"/>
  <c r="E90" i="8" s="1"/>
  <c r="C89" i="8"/>
  <c r="A89" i="8"/>
  <c r="D89" i="8" s="1"/>
  <c r="E89" i="8" s="1"/>
  <c r="C88" i="8"/>
  <c r="A88" i="8"/>
  <c r="D88" i="8" s="1"/>
  <c r="E88" i="8" s="1"/>
  <c r="C87" i="8"/>
  <c r="A87" i="8"/>
  <c r="D87" i="8" s="1"/>
  <c r="E87" i="8" s="1"/>
  <c r="C86" i="8"/>
  <c r="A86" i="8"/>
  <c r="D86" i="8" s="1"/>
  <c r="E86" i="8" s="1"/>
  <c r="C85" i="8"/>
  <c r="A85" i="8"/>
  <c r="D85" i="8" s="1"/>
  <c r="E85" i="8" s="1"/>
  <c r="C84" i="8"/>
  <c r="A84" i="8"/>
  <c r="D84" i="8" s="1"/>
  <c r="E84" i="8" s="1"/>
  <c r="C83" i="8"/>
  <c r="A83" i="8"/>
  <c r="D83" i="8" s="1"/>
  <c r="E83" i="8" s="1"/>
  <c r="C82" i="8"/>
  <c r="A82" i="8"/>
  <c r="D82" i="8" s="1"/>
  <c r="E82" i="8" s="1"/>
  <c r="C81" i="8"/>
  <c r="A81" i="8"/>
  <c r="D81" i="8" s="1"/>
  <c r="E81" i="8" s="1"/>
  <c r="C80" i="8"/>
  <c r="A80" i="8"/>
  <c r="D80" i="8" s="1"/>
  <c r="E80" i="8" s="1"/>
  <c r="C79" i="8"/>
  <c r="A79" i="8"/>
  <c r="D79" i="8" s="1"/>
  <c r="E79" i="8" s="1"/>
  <c r="C78" i="8"/>
  <c r="A78" i="8"/>
  <c r="D78" i="8" s="1"/>
  <c r="E78" i="8" s="1"/>
  <c r="C77" i="8"/>
  <c r="A77" i="8"/>
  <c r="D77" i="8" s="1"/>
  <c r="E77" i="8" s="1"/>
  <c r="C76" i="8"/>
  <c r="A76" i="8"/>
  <c r="D76" i="8" s="1"/>
  <c r="E76" i="8" s="1"/>
  <c r="C75" i="8"/>
  <c r="A75" i="8"/>
  <c r="D75" i="8" s="1"/>
  <c r="E75" i="8" s="1"/>
  <c r="C74" i="8"/>
  <c r="A74" i="8"/>
  <c r="D74" i="8" s="1"/>
  <c r="E74" i="8" s="1"/>
  <c r="C73" i="8"/>
  <c r="A73" i="8"/>
  <c r="D73" i="8" s="1"/>
  <c r="E73" i="8" s="1"/>
  <c r="C72" i="8"/>
  <c r="A72" i="8"/>
  <c r="D72" i="8" s="1"/>
  <c r="E72" i="8" s="1"/>
  <c r="C71" i="8"/>
  <c r="A71" i="8"/>
  <c r="D71" i="8" s="1"/>
  <c r="E71" i="8" s="1"/>
  <c r="C70" i="8"/>
  <c r="A70" i="8"/>
  <c r="D70" i="8" s="1"/>
  <c r="E70" i="8" s="1"/>
  <c r="C69" i="8"/>
  <c r="A69" i="8"/>
  <c r="D69" i="8" s="1"/>
  <c r="E69" i="8" s="1"/>
  <c r="C68" i="8"/>
  <c r="A68" i="8"/>
  <c r="D68" i="8" s="1"/>
  <c r="E68" i="8" s="1"/>
  <c r="C67" i="8"/>
  <c r="A67" i="8"/>
  <c r="D67" i="8" s="1"/>
  <c r="E67" i="8" s="1"/>
  <c r="C66" i="8"/>
  <c r="A66" i="8"/>
  <c r="D66" i="8" s="1"/>
  <c r="E66" i="8" s="1"/>
  <c r="C65" i="8"/>
  <c r="A65" i="8"/>
  <c r="D65" i="8" s="1"/>
  <c r="E65" i="8" s="1"/>
  <c r="C64" i="8"/>
  <c r="A64" i="8"/>
  <c r="D64" i="8" s="1"/>
  <c r="E64" i="8" s="1"/>
  <c r="C63" i="8"/>
  <c r="A63" i="8"/>
  <c r="D63" i="8" s="1"/>
  <c r="E63" i="8" s="1"/>
  <c r="C62" i="8"/>
  <c r="A62" i="8"/>
  <c r="D62" i="8" s="1"/>
  <c r="E62" i="8" s="1"/>
  <c r="C61" i="8"/>
  <c r="A61" i="8"/>
  <c r="D61" i="8" s="1"/>
  <c r="E61" i="8" s="1"/>
  <c r="C60" i="8"/>
  <c r="A60" i="8"/>
  <c r="D60" i="8" s="1"/>
  <c r="E60" i="8" s="1"/>
  <c r="C59" i="8"/>
  <c r="A59" i="8"/>
  <c r="D59" i="8" s="1"/>
  <c r="E59" i="8" s="1"/>
  <c r="C58" i="8"/>
  <c r="A58" i="8"/>
  <c r="D58" i="8" s="1"/>
  <c r="E58" i="8" s="1"/>
  <c r="C57" i="8"/>
  <c r="A57" i="8"/>
  <c r="D57" i="8" s="1"/>
  <c r="E57" i="8" s="1"/>
  <c r="C56" i="8"/>
  <c r="A56" i="8"/>
  <c r="D56" i="8" s="1"/>
  <c r="E56" i="8" s="1"/>
  <c r="C55" i="8"/>
  <c r="A55" i="8"/>
  <c r="D55" i="8" s="1"/>
  <c r="E55" i="8" s="1"/>
  <c r="C54" i="8"/>
  <c r="A54" i="8"/>
  <c r="D54" i="8" s="1"/>
  <c r="E54" i="8" s="1"/>
  <c r="C53" i="8"/>
  <c r="A53" i="8"/>
  <c r="D53" i="8" s="1"/>
  <c r="E53" i="8" s="1"/>
  <c r="C52" i="8"/>
  <c r="A52" i="8"/>
  <c r="D52" i="8" s="1"/>
  <c r="E52" i="8" s="1"/>
  <c r="C51" i="8"/>
  <c r="A51" i="8"/>
  <c r="D51" i="8" s="1"/>
  <c r="E51" i="8" s="1"/>
  <c r="C50" i="8"/>
  <c r="A50" i="8"/>
  <c r="D50" i="8" s="1"/>
  <c r="E50" i="8" s="1"/>
  <c r="C49" i="8"/>
  <c r="A49" i="8"/>
  <c r="D49" i="8" s="1"/>
  <c r="E49" i="8" s="1"/>
  <c r="C48" i="8"/>
  <c r="A48" i="8"/>
  <c r="D48" i="8" s="1"/>
  <c r="E48" i="8" s="1"/>
  <c r="C47" i="8"/>
  <c r="A47" i="8"/>
  <c r="D47" i="8" s="1"/>
  <c r="E47" i="8" s="1"/>
  <c r="C46" i="8"/>
  <c r="A46" i="8"/>
  <c r="D46" i="8" s="1"/>
  <c r="E46" i="8" s="1"/>
  <c r="C45" i="8"/>
  <c r="A45" i="8"/>
  <c r="D45" i="8" s="1"/>
  <c r="E45" i="8" s="1"/>
  <c r="C44" i="8"/>
  <c r="A44" i="8"/>
  <c r="D44" i="8" s="1"/>
  <c r="E44" i="8" s="1"/>
  <c r="C43" i="8"/>
  <c r="A43" i="8"/>
  <c r="D43" i="8" s="1"/>
  <c r="E43" i="8" s="1"/>
  <c r="C42" i="8"/>
  <c r="A42" i="8"/>
  <c r="D42" i="8" s="1"/>
  <c r="E42" i="8" s="1"/>
  <c r="C41" i="8"/>
  <c r="A41" i="8"/>
  <c r="D41" i="8" s="1"/>
  <c r="E41" i="8" s="1"/>
  <c r="C40" i="8"/>
  <c r="A40" i="8"/>
  <c r="D40" i="8" s="1"/>
  <c r="E40" i="8" s="1"/>
  <c r="C39" i="8"/>
  <c r="A39" i="8"/>
  <c r="D39" i="8" s="1"/>
  <c r="E39" i="8" s="1"/>
  <c r="C38" i="8"/>
  <c r="A38" i="8"/>
  <c r="D38" i="8" s="1"/>
  <c r="E38" i="8" s="1"/>
  <c r="C37" i="8"/>
  <c r="A37" i="8"/>
  <c r="D37" i="8" s="1"/>
  <c r="E37" i="8" s="1"/>
  <c r="C36" i="8"/>
  <c r="A36" i="8"/>
  <c r="D36" i="8" s="1"/>
  <c r="E36" i="8" s="1"/>
  <c r="C35" i="8"/>
  <c r="A35" i="8"/>
  <c r="D35" i="8" s="1"/>
  <c r="E35" i="8" s="1"/>
  <c r="C34" i="8"/>
  <c r="A34" i="8"/>
  <c r="D34" i="8" s="1"/>
  <c r="E34" i="8" s="1"/>
  <c r="C33" i="8"/>
  <c r="A33" i="8"/>
  <c r="D33" i="8" s="1"/>
  <c r="E33" i="8" s="1"/>
  <c r="E17" i="8"/>
  <c r="E13" i="8"/>
  <c r="C10" i="8"/>
  <c r="C19" i="7"/>
  <c r="B19" i="7"/>
  <c r="C18" i="7"/>
  <c r="B18" i="7"/>
  <c r="C17" i="7"/>
  <c r="E17" i="7" s="1"/>
  <c r="D18" i="7" s="1"/>
  <c r="E18" i="7" s="1"/>
  <c r="B17" i="7"/>
  <c r="C16" i="7"/>
  <c r="B16" i="7"/>
  <c r="C15" i="7"/>
  <c r="B15" i="7"/>
  <c r="C14" i="7"/>
  <c r="B14" i="7"/>
  <c r="C13" i="7"/>
  <c r="E13" i="7" s="1"/>
  <c r="D14" i="7" s="1"/>
  <c r="E14" i="7" s="1"/>
  <c r="B13" i="7"/>
  <c r="C12" i="7"/>
  <c r="B12" i="7"/>
  <c r="C11" i="7"/>
  <c r="E11" i="7" s="1"/>
  <c r="D12" i="7" s="1"/>
  <c r="B11" i="7"/>
  <c r="C10" i="7"/>
  <c r="E10" i="7" s="1"/>
  <c r="B10" i="7"/>
  <c r="C54" i="5"/>
  <c r="C50" i="5"/>
  <c r="C11" i="5" s="1"/>
  <c r="E11" i="5" s="1"/>
  <c r="C14" i="8" s="1"/>
  <c r="C40" i="5"/>
  <c r="C29" i="5"/>
  <c r="C33" i="5" s="1"/>
  <c r="E14" i="5"/>
  <c r="C17" i="8" s="1"/>
  <c r="D17" i="8" s="1"/>
  <c r="C13" i="5"/>
  <c r="E13" i="5" s="1"/>
  <c r="K11" i="5"/>
  <c r="C10" i="5"/>
  <c r="E10" i="5" s="1"/>
  <c r="C16" i="4"/>
  <c r="C15" i="4"/>
  <c r="C10" i="10" s="1"/>
  <c r="C14" i="4"/>
  <c r="C9" i="10" s="1"/>
  <c r="D10" i="4"/>
  <c r="C24" i="3"/>
  <c r="C4" i="10" s="1"/>
  <c r="B22" i="3"/>
  <c r="B21" i="3"/>
  <c r="D14" i="3"/>
  <c r="G14" i="3" s="1"/>
  <c r="C22" i="3" s="1"/>
  <c r="E22" i="3" s="1"/>
  <c r="D13" i="3"/>
  <c r="G13" i="3" s="1"/>
  <c r="C21" i="3" s="1"/>
  <c r="E21" i="3" s="1"/>
  <c r="D12" i="3"/>
  <c r="B20" i="3" s="1"/>
  <c r="D11" i="3"/>
  <c r="D10" i="3"/>
  <c r="G10" i="3" s="1"/>
  <c r="D9" i="3"/>
  <c r="G9" i="3" s="1"/>
  <c r="C18" i="3" s="1"/>
  <c r="E18" i="3" s="1"/>
  <c r="D8" i="3"/>
  <c r="B17" i="3" s="1"/>
  <c r="H67" i="2"/>
  <c r="G67" i="2"/>
  <c r="B92" i="8" s="1"/>
  <c r="H66" i="2"/>
  <c r="G66" i="2"/>
  <c r="B91" i="8" s="1"/>
  <c r="H65" i="2"/>
  <c r="G65" i="2"/>
  <c r="B90" i="8" s="1"/>
  <c r="H64" i="2"/>
  <c r="G64" i="2"/>
  <c r="B89" i="8" s="1"/>
  <c r="H63" i="2"/>
  <c r="G63" i="2"/>
  <c r="B88" i="8" s="1"/>
  <c r="H62" i="2"/>
  <c r="G62" i="2"/>
  <c r="B87" i="8" s="1"/>
  <c r="H61" i="2"/>
  <c r="G61" i="2"/>
  <c r="B86" i="8" s="1"/>
  <c r="H60" i="2"/>
  <c r="G60" i="2"/>
  <c r="B85" i="8" s="1"/>
  <c r="H59" i="2"/>
  <c r="G59" i="2"/>
  <c r="B84" i="8" s="1"/>
  <c r="H58" i="2"/>
  <c r="G58" i="2"/>
  <c r="B83" i="8" s="1"/>
  <c r="H57" i="2"/>
  <c r="G57" i="2"/>
  <c r="B82" i="8" s="1"/>
  <c r="H56" i="2"/>
  <c r="G56" i="2"/>
  <c r="B81" i="8" s="1"/>
  <c r="H55" i="2"/>
  <c r="G55" i="2"/>
  <c r="B80" i="8" s="1"/>
  <c r="H54" i="2"/>
  <c r="G54" i="2"/>
  <c r="B79" i="8" s="1"/>
  <c r="H53" i="2"/>
  <c r="G53" i="2"/>
  <c r="B78" i="8" s="1"/>
  <c r="H52" i="2"/>
  <c r="G52" i="2"/>
  <c r="B77" i="8" s="1"/>
  <c r="H51" i="2"/>
  <c r="G51" i="2"/>
  <c r="B76" i="8" s="1"/>
  <c r="H50" i="2"/>
  <c r="G50" i="2"/>
  <c r="B75" i="8" s="1"/>
  <c r="H49" i="2"/>
  <c r="G49" i="2"/>
  <c r="B74" i="8" s="1"/>
  <c r="H48" i="2"/>
  <c r="G48" i="2"/>
  <c r="B73" i="8" s="1"/>
  <c r="H47" i="2"/>
  <c r="G47" i="2"/>
  <c r="B72" i="8" s="1"/>
  <c r="H46" i="2"/>
  <c r="G46" i="2"/>
  <c r="B71" i="8" s="1"/>
  <c r="H45" i="2"/>
  <c r="G45" i="2"/>
  <c r="B70" i="8" s="1"/>
  <c r="H44" i="2"/>
  <c r="G44" i="2"/>
  <c r="B69" i="8" s="1"/>
  <c r="H43" i="2"/>
  <c r="G43" i="2"/>
  <c r="B68" i="8" s="1"/>
  <c r="H42" i="2"/>
  <c r="G42" i="2"/>
  <c r="B67" i="8" s="1"/>
  <c r="H41" i="2"/>
  <c r="G41" i="2"/>
  <c r="B66" i="8" s="1"/>
  <c r="H40" i="2"/>
  <c r="G40" i="2"/>
  <c r="B65" i="8" s="1"/>
  <c r="H39" i="2"/>
  <c r="G39" i="2"/>
  <c r="B64" i="8" s="1"/>
  <c r="H38" i="2"/>
  <c r="G38" i="2"/>
  <c r="B63" i="8" s="1"/>
  <c r="H37" i="2"/>
  <c r="G37" i="2"/>
  <c r="B62" i="8" s="1"/>
  <c r="H36" i="2"/>
  <c r="G36" i="2"/>
  <c r="B61" i="8" s="1"/>
  <c r="H35" i="2"/>
  <c r="G35" i="2"/>
  <c r="B60" i="8" s="1"/>
  <c r="H34" i="2"/>
  <c r="G34" i="2"/>
  <c r="B59" i="8" s="1"/>
  <c r="H33" i="2"/>
  <c r="G33" i="2"/>
  <c r="B58" i="8" s="1"/>
  <c r="H32" i="2"/>
  <c r="G32" i="2"/>
  <c r="B57" i="8" s="1"/>
  <c r="H31" i="2"/>
  <c r="G31" i="2"/>
  <c r="B56" i="8" s="1"/>
  <c r="H30" i="2"/>
  <c r="G30" i="2"/>
  <c r="B55" i="8" s="1"/>
  <c r="H29" i="2"/>
  <c r="G29" i="2"/>
  <c r="B54" i="8" s="1"/>
  <c r="H28" i="2"/>
  <c r="G28" i="2"/>
  <c r="B53" i="8" s="1"/>
  <c r="H27" i="2"/>
  <c r="G27" i="2"/>
  <c r="B52" i="8" s="1"/>
  <c r="H26" i="2"/>
  <c r="G26" i="2"/>
  <c r="B51" i="8" s="1"/>
  <c r="H25" i="2"/>
  <c r="G25" i="2"/>
  <c r="B50" i="8" s="1"/>
  <c r="H24" i="2"/>
  <c r="G24" i="2"/>
  <c r="B49" i="8" s="1"/>
  <c r="H23" i="2"/>
  <c r="G23" i="2"/>
  <c r="B48" i="8" s="1"/>
  <c r="H22" i="2"/>
  <c r="G22" i="2"/>
  <c r="B47" i="8" s="1"/>
  <c r="H21" i="2"/>
  <c r="G21" i="2"/>
  <c r="B46" i="8" s="1"/>
  <c r="H20" i="2"/>
  <c r="G20" i="2"/>
  <c r="B45" i="8" s="1"/>
  <c r="H19" i="2"/>
  <c r="G19" i="2"/>
  <c r="B44" i="8" s="1"/>
  <c r="H18" i="2"/>
  <c r="G18" i="2"/>
  <c r="B43" i="8" s="1"/>
  <c r="H17" i="2"/>
  <c r="G17" i="2"/>
  <c r="B42" i="8" s="1"/>
  <c r="H16" i="2"/>
  <c r="G16" i="2"/>
  <c r="B41" i="8" s="1"/>
  <c r="H15" i="2"/>
  <c r="G15" i="2"/>
  <c r="B40" i="8" s="1"/>
  <c r="H14" i="2"/>
  <c r="G14" i="2"/>
  <c r="B39" i="8" s="1"/>
  <c r="H13" i="2"/>
  <c r="G13" i="2"/>
  <c r="B38" i="8" s="1"/>
  <c r="H12" i="2"/>
  <c r="G12" i="2"/>
  <c r="B37" i="8" s="1"/>
  <c r="H11" i="2"/>
  <c r="G11" i="2"/>
  <c r="H10" i="2"/>
  <c r="G10" i="2"/>
  <c r="B35" i="8" s="1"/>
  <c r="H9" i="2"/>
  <c r="G9" i="2"/>
  <c r="B34" i="8" s="1"/>
  <c r="H8" i="2"/>
  <c r="G8" i="2"/>
  <c r="B19" i="3" l="1"/>
  <c r="D11" i="4"/>
  <c r="D5" i="4"/>
  <c r="B18" i="3"/>
  <c r="E10" i="4"/>
  <c r="C11" i="4"/>
  <c r="E11" i="4"/>
  <c r="C7" i="4"/>
  <c r="E12" i="7"/>
  <c r="D19" i="7" s="1"/>
  <c r="E19" i="7" s="1"/>
  <c r="C21" i="7" s="1"/>
  <c r="C22" i="10"/>
  <c r="C15" i="5"/>
  <c r="E15" i="5" s="1"/>
  <c r="E14" i="8"/>
  <c r="D14" i="8"/>
  <c r="D10" i="10"/>
  <c r="E10" i="10" s="1"/>
  <c r="D9" i="10"/>
  <c r="E9" i="10" s="1"/>
  <c r="D15" i="7"/>
  <c r="E15" i="7" s="1"/>
  <c r="D16" i="7"/>
  <c r="E16" i="7" s="1"/>
  <c r="C13" i="8"/>
  <c r="D13" i="8" s="1"/>
  <c r="K10" i="5"/>
  <c r="D4" i="10"/>
  <c r="E4" i="10" s="1"/>
  <c r="K13" i="5"/>
  <c r="C16" i="8"/>
  <c r="E9" i="4"/>
  <c r="G11" i="3"/>
  <c r="C19" i="3" s="1"/>
  <c r="E19" i="3" s="1"/>
  <c r="B10" i="4"/>
  <c r="C5" i="4"/>
  <c r="C10" i="4"/>
  <c r="C5" i="2"/>
  <c r="G12" i="3"/>
  <c r="C20" i="3" s="1"/>
  <c r="E20" i="3" s="1"/>
  <c r="B8" i="4"/>
  <c r="C8" i="4"/>
  <c r="G8" i="3"/>
  <c r="C17" i="3" s="1"/>
  <c r="E17" i="3" s="1"/>
  <c r="B6" i="4"/>
  <c r="C6" i="4"/>
  <c r="E8" i="4"/>
  <c r="C25" i="3"/>
  <c r="C5" i="10" s="1"/>
  <c r="D6" i="4"/>
  <c r="B9" i="4"/>
  <c r="E6" i="4"/>
  <c r="C9" i="4"/>
  <c r="B7" i="4"/>
  <c r="D9" i="4"/>
  <c r="K14" i="5"/>
  <c r="B5" i="4"/>
  <c r="C44" i="5"/>
  <c r="B36" i="8"/>
  <c r="C17" i="4"/>
  <c r="C8" i="10" s="1"/>
  <c r="C45" i="5"/>
  <c r="E15" i="8" s="1"/>
  <c r="C23" i="10"/>
  <c r="E5" i="4"/>
  <c r="D8" i="4"/>
  <c r="B11" i="4"/>
  <c r="B33" i="8"/>
  <c r="D7" i="4"/>
  <c r="E7" i="4"/>
  <c r="C26" i="3" l="1"/>
  <c r="C46" i="5"/>
  <c r="C24" i="10"/>
  <c r="C12" i="5"/>
  <c r="C28" i="8"/>
  <c r="C13" i="4"/>
  <c r="C7" i="10" s="1"/>
  <c r="D8" i="10"/>
  <c r="E8" i="10" s="1"/>
  <c r="D23" i="10"/>
  <c r="E23" i="10" s="1"/>
  <c r="D5" i="10"/>
  <c r="E5" i="10" s="1"/>
  <c r="E16" i="8"/>
  <c r="D16" i="8"/>
  <c r="C18" i="4"/>
  <c r="C18" i="8"/>
  <c r="K15" i="5"/>
  <c r="C6" i="10"/>
  <c r="C28" i="3"/>
  <c r="C27" i="3"/>
  <c r="C22" i="7"/>
  <c r="C23" i="7" s="1"/>
  <c r="C17" i="10" s="1"/>
  <c r="C16" i="10"/>
  <c r="C29" i="8"/>
  <c r="C18" i="10" s="1"/>
  <c r="D22" i="10"/>
  <c r="E22" i="10" s="1"/>
  <c r="E18" i="8" l="1"/>
  <c r="C24" i="8" s="1"/>
  <c r="B24" i="8" s="1"/>
  <c r="D18" i="8"/>
  <c r="D16" i="10"/>
  <c r="E16" i="10" s="1"/>
  <c r="D24" i="10"/>
  <c r="E24" i="10" s="1"/>
  <c r="D7" i="10"/>
  <c r="E7" i="10" s="1"/>
  <c r="D17" i="10"/>
  <c r="E17" i="10" s="1"/>
  <c r="D6" i="10"/>
  <c r="E6" i="10" s="1"/>
  <c r="D18" i="10"/>
  <c r="E18" i="10" s="1"/>
  <c r="F12" i="5"/>
  <c r="K12" i="5" s="1"/>
  <c r="E12" i="5"/>
  <c r="C15" i="8" s="1"/>
  <c r="D15" i="8" s="1"/>
  <c r="D19" i="8" l="1"/>
  <c r="C18" i="5"/>
  <c r="C12" i="10" s="1"/>
  <c r="C19" i="5"/>
  <c r="C13" i="10" s="1"/>
  <c r="C17" i="5"/>
  <c r="C11" i="10" s="1"/>
  <c r="C21" i="5"/>
  <c r="C15" i="10" s="1"/>
  <c r="C22" i="5"/>
  <c r="C20" i="5"/>
  <c r="C14" i="10" s="1"/>
  <c r="C19" i="10"/>
  <c r="C26" i="8"/>
  <c r="B26" i="8" s="1"/>
  <c r="C25" i="8"/>
  <c r="B25" i="8" s="1"/>
  <c r="E20" i="8"/>
  <c r="C20" i="10" s="1"/>
  <c r="D20" i="10" l="1"/>
  <c r="E20" i="10" s="1"/>
  <c r="D19" i="10"/>
  <c r="E19" i="10" s="1"/>
  <c r="E21" i="8"/>
  <c r="C21" i="10" s="1"/>
  <c r="D14" i="10"/>
  <c r="E14" i="10" s="1"/>
  <c r="D12" i="10"/>
  <c r="E12" i="10" s="1"/>
  <c r="D15" i="10"/>
  <c r="E15" i="10" s="1"/>
  <c r="D11" i="10"/>
  <c r="E11" i="10" s="1"/>
  <c r="D13" i="10"/>
  <c r="E13" i="10" s="1"/>
  <c r="D21" i="10" l="1"/>
  <c r="E21" i="10" s="1"/>
</calcChain>
</file>

<file path=xl/sharedStrings.xml><?xml version="1.0" encoding="utf-8"?>
<sst xmlns="http://schemas.openxmlformats.org/spreadsheetml/2006/main" count="696" uniqueCount="450">
  <si>
    <t>Kalasu Home Appliances Private Limited: readiness scorecard and remediation tracker</t>
  </si>
  <si>
    <t>Diligence Readiness, Dissent Advisory. Fictional company; every figure is constructed for teaching. ₹ Cr unless a row says otherwise.</t>
  </si>
  <si>
    <t>How to use</t>
  </si>
  <si>
    <t>1</t>
  </si>
  <si>
    <t>Work alongside the course. Each worked example names the sheet it draws on.</t>
  </si>
  <si>
    <t>2</t>
  </si>
  <si>
    <t>Change a blue input or a yellow choice and everything downstream recalculates: the score and heatmap, the request load, the routes, the critical path and the report.</t>
  </si>
  <si>
    <t>3</t>
  </si>
  <si>
    <t>Compare the results with 09_Answer_Check. It flags any figure that differs from the course by more than its tolerance.</t>
  </si>
  <si>
    <t>4</t>
  </si>
  <si>
    <t>Example: set 04_Triage C4 to 2 weeks and three fixes become disclosures, as Chapter III's quiz asks.</t>
  </si>
  <si>
    <t>Colour legend</t>
  </si>
  <si>
    <t>Blue text</t>
  </si>
  <si>
    <t>Typed inputs from the case.</t>
  </si>
  <si>
    <t>Black text</t>
  </si>
  <si>
    <t>Formulas.</t>
  </si>
  <si>
    <t>Green text</t>
  </si>
  <si>
    <t>Links to another sheet.</t>
  </si>
  <si>
    <t>Yellow fill</t>
  </si>
  <si>
    <t>Choices the course invites you to change.</t>
  </si>
  <si>
    <t>Sheets</t>
  </si>
  <si>
    <t>01_Checklist</t>
  </si>
  <si>
    <t>The 60 sweep items with severity, status and the evidence that proves each</t>
  </si>
  <si>
    <t>02_Request_Load</t>
  </si>
  <si>
    <t>The request list by workstream against the people who answer it</t>
  </si>
  <si>
    <t>03_Heatmap</t>
  </si>
  <si>
    <t>Readiness by workstream and severity, and the score</t>
  </si>
  <si>
    <t>04_Triage</t>
  </si>
  <si>
    <t>Each finding: exposure, cost and time to fix, and the route</t>
  </si>
  <si>
    <t>05_Remediation</t>
  </si>
  <si>
    <t>Actions with owners, dependencies, durations and evidence of closure</t>
  </si>
  <si>
    <t>06_Critical_Path</t>
  </si>
  <si>
    <t>Earliest finish against 4 January 2027 and the slack</t>
  </si>
  <si>
    <t>07_Report</t>
  </si>
  <si>
    <t>The one-page readiness report</t>
  </si>
  <si>
    <t>08_AI_Spec</t>
  </si>
  <si>
    <t>The specification for an AI tool</t>
  </si>
  <si>
    <t>09_Answer_Check</t>
  </si>
  <si>
    <t>Your figures against the course</t>
  </si>
  <si>
    <t>The case</t>
  </si>
  <si>
    <t>Product</t>
  </si>
  <si>
    <t>Small kitchen appliances, GST at 18%</t>
  </si>
  <si>
    <t>GMV the founders quote, FY26</t>
  </si>
  <si>
    <t>₹49.12 Cr</t>
  </si>
  <si>
    <t>Net revenue, FY26</t>
  </si>
  <si>
    <t>₹30.00 Cr: website 40%, marketplaces 45%, quick commerce 15%</t>
  </si>
  <si>
    <t>Contribution after marketing (CM3)</t>
  </si>
  <si>
    <t>₹3.39 Cr (11.3%)</t>
  </si>
  <si>
    <t>EBITDA, FY26</t>
  </si>
  <si>
    <t>Loss of ₹4.53 Cr</t>
  </si>
  <si>
    <t>Series A, April 2025</t>
  </si>
  <si>
    <t>₹40.00 Cr from a domestic Category II AIF</t>
  </si>
  <si>
    <t>Cash and investments, 31 March 2026</t>
  </si>
  <si>
    <t>₹32.59 Cr</t>
  </si>
  <si>
    <t>Framework and tax</t>
  </si>
  <si>
    <t>Accounting Standards; Section 115BAA, now Section 200, 25.168%</t>
  </si>
  <si>
    <t>Headcount</t>
  </si>
  <si>
    <t>50, all in Bengaluru</t>
  </si>
  <si>
    <t>The self-diligence sweep, 13 November 2026</t>
  </si>
  <si>
    <t>Sixty items as the buyer's request list will test them. Weight is the severity: high 3, medium 2, low 1.</t>
  </si>
  <si>
    <t>Score an unknown as a gap</t>
  </si>
  <si>
    <t>No</t>
  </si>
  <si>
    <t>Readiness score</t>
  </si>
  <si>
    <t>ID</t>
  </si>
  <si>
    <t>Workstream</t>
  </si>
  <si>
    <t>Item</t>
  </si>
  <si>
    <t>Severity</t>
  </si>
  <si>
    <t>Status</t>
  </si>
  <si>
    <t>Evidence</t>
  </si>
  <si>
    <t>Weight</t>
  </si>
  <si>
    <t>Credit</t>
  </si>
  <si>
    <t>Issue</t>
  </si>
  <si>
    <t>R-01</t>
  </si>
  <si>
    <t>Corporate and secretarial</t>
  </si>
  <si>
    <t>Memorandum and articles current, with the Series A amendments filed</t>
  </si>
  <si>
    <t>clean</t>
  </si>
  <si>
    <t>MCA master data; MGT-14 SRNs</t>
  </si>
  <si>
    <t>R-02</t>
  </si>
  <si>
    <t>Register of members and share certificates agree with the cap table</t>
  </si>
  <si>
    <t>Register of members; cap table</t>
  </si>
  <si>
    <t>R-03</t>
  </si>
  <si>
    <t>Series A private placement: offer letter, separate bank account, allotment resolution</t>
  </si>
  <si>
    <t>PAS-4, PAS-5, bank statement, board minutes</t>
  </si>
  <si>
    <t>R-04</t>
  </si>
  <si>
    <t>Series A return of allotment filed within 15 days of allotment</t>
  </si>
  <si>
    <t>gap</t>
  </si>
  <si>
    <t>PAS-3 SRN and filing date</t>
  </si>
  <si>
    <t>I-11</t>
  </si>
  <si>
    <t>R-05</t>
  </si>
  <si>
    <t>ESOP scheme approved by special resolution before any grant</t>
  </si>
  <si>
    <t>MGT-14 for the resolution; grant letters</t>
  </si>
  <si>
    <t>I-10</t>
  </si>
  <si>
    <t>R-06</t>
  </si>
  <si>
    <t>Board minutes signed and entered within 30 days of each meeting</t>
  </si>
  <si>
    <t>Minute book</t>
  </si>
  <si>
    <t>R-07</t>
  </si>
  <si>
    <t>Every director’s disclosure of interest (MBP-1) taken at the first meeting of each year</t>
  </si>
  <si>
    <t>MBP-1 forms; board minutes</t>
  </si>
  <si>
    <t>R-08</t>
  </si>
  <si>
    <t>Related party transactions approved under Section 188 and consented to under the SHA</t>
  </si>
  <si>
    <t>Board resolution; investor consent</t>
  </si>
  <si>
    <t>I-04</t>
  </si>
  <si>
    <t>R-09</t>
  </si>
  <si>
    <t>Charge index on the MCA portal agrees with the lenders; satisfied charges closed</t>
  </si>
  <si>
    <t>MCA index of charges; bank letters</t>
  </si>
  <si>
    <t>R-10</t>
  </si>
  <si>
    <t>AOC-4 and MGT-7A for FY25 and FY26 filed on time</t>
  </si>
  <si>
    <t>SRNs and filing dates</t>
  </si>
  <si>
    <t>R-11</t>
  </si>
  <si>
    <t>DIR-3 KYC for every director and the DPT-3 return filed</t>
  </si>
  <si>
    <t>SRNs</t>
  </si>
  <si>
    <t>R-12</t>
  </si>
  <si>
    <t>Register of contracts with related parties (MBP-4) kept up to date</t>
  </si>
  <si>
    <t>unknown</t>
  </si>
  <si>
    <t>MBP-4 register</t>
  </si>
  <si>
    <t>R-13</t>
  </si>
  <si>
    <t>Financial reporting</t>
  </si>
  <si>
    <t>FY25 and FY26 audited with unmodified opinions</t>
  </si>
  <si>
    <t>Audit reports</t>
  </si>
  <si>
    <t>R-14</t>
  </si>
  <si>
    <t>CARO 2020 reports no undeposited statutory dues</t>
  </si>
  <si>
    <t>CARO paragraph 3(vii)</t>
  </si>
  <si>
    <t>R-15</t>
  </si>
  <si>
    <t>CARO 2020 reports on the Series A allotment’s compliance</t>
  </si>
  <si>
    <t>CARO paragraph 3(x)(b)</t>
  </si>
  <si>
    <t>R-16</t>
  </si>
  <si>
    <t>Audit trail enabled all year, with the auditor’s statement under Rule 11(g)</t>
  </si>
  <si>
    <t>Auditor’s report; software settings</t>
  </si>
  <si>
    <t>R-17</t>
  </si>
  <si>
    <t>FY26 trial balance ties to the audited financial statements</t>
  </si>
  <si>
    <t>Trial balance; mapping</t>
  </si>
  <si>
    <t>R-18</t>
  </si>
  <si>
    <t>FY27 monthly MIS ties to the books</t>
  </si>
  <si>
    <t>MIS; trial balance by month</t>
  </si>
  <si>
    <t>R-19</t>
  </si>
  <si>
    <t>Gratuity measured under AS 15 on an actuarial valuation</t>
  </si>
  <si>
    <t>Actuarial report</t>
  </si>
  <si>
    <t>I-08</t>
  </si>
  <si>
    <t>R-20</t>
  </si>
  <si>
    <t>Inventory aged and tested for net realisable value each quarter</t>
  </si>
  <si>
    <t>Ageing report; NRV working</t>
  </si>
  <si>
    <t>R-21</t>
  </si>
  <si>
    <t>Related party note under AS 18 lists every relative of a director</t>
  </si>
  <si>
    <t>FY26 notes to accounts</t>
  </si>
  <si>
    <t>R-22</t>
  </si>
  <si>
    <t>Contingent liabilities note agrees with the notices received</t>
  </si>
  <si>
    <t>Notices register; FY26 notes</t>
  </si>
  <si>
    <t>R-23</t>
  </si>
  <si>
    <t>GST</t>
  </si>
  <si>
    <t>Both GSTINs current, with every warehouse and fulfilment centre declared</t>
  </si>
  <si>
    <t>Registration certificates</t>
  </si>
  <si>
    <t>R-24</t>
  </si>
  <si>
    <t>GSTR-1 and 3B filed on time every month on both GSTINs</t>
  </si>
  <si>
    <t>GST portal filing history</t>
  </si>
  <si>
    <t>R-25</t>
  </si>
  <si>
    <t>GSTR-9 and 9C filed for FY25</t>
  </si>
  <si>
    <t>Portal acknowledgements</t>
  </si>
  <si>
    <t>R-26</t>
  </si>
  <si>
    <t>E-invoices generated for every business-to-business supply</t>
  </si>
  <si>
    <t>IRP reports</t>
  </si>
  <si>
    <t>R-27</t>
  </si>
  <si>
    <t>Input tax credit claimed within GSTR-2B, with Rule 37A reversals tracked</t>
  </si>
  <si>
    <t>ITC register against 2B</t>
  </si>
  <si>
    <t>R-28</t>
  </si>
  <si>
    <t>Credit notes issued within the Section 34 time limit</t>
  </si>
  <si>
    <t>Credit note register</t>
  </si>
  <si>
    <t>R-29</t>
  </si>
  <si>
    <t>Section 52 TCS reconciled to the operators’ GSTR-8 and accepted on the portal</t>
  </si>
  <si>
    <t>TCS credit statement</t>
  </si>
  <si>
    <t>R-30</t>
  </si>
  <si>
    <t>No notices, demands or proceedings open on the portal</t>
  </si>
  <si>
    <t>Portal notices tab</t>
  </si>
  <si>
    <t>R-31</t>
  </si>
  <si>
    <t>E-way bills for every stock transfer to Bhiwandi</t>
  </si>
  <si>
    <t>E-way bill register</t>
  </si>
  <si>
    <t>R-32</t>
  </si>
  <si>
    <t>Income tax and TDS</t>
  </si>
  <si>
    <t>Returns and tax audit reports filed for tax years 2024-25 and 2025-26</t>
  </si>
  <si>
    <t>ITR acknowledgements; Form 3CD</t>
  </si>
  <si>
    <t>R-33</t>
  </si>
  <si>
    <t>Form 26AS and the AIS reviewed against the books</t>
  </si>
  <si>
    <t>26AS; AIS; ledger 1505</t>
  </si>
  <si>
    <t>R-34</t>
  </si>
  <si>
    <t>TDS returns filed every quarter with no defaults on TRACES</t>
  </si>
  <si>
    <t>TRACES justification reports</t>
  </si>
  <si>
    <t>R-35</t>
  </si>
  <si>
    <t>TDS deducted under the section the service falls in</t>
  </si>
  <si>
    <t>TDS register by vendor</t>
  </si>
  <si>
    <t>R-36</t>
  </si>
  <si>
    <t>Micro and small enterprise dues paid within 45 days (Section 43B(h))</t>
  </si>
  <si>
    <t>Payables ageing; MSME Form I; Form 3CD</t>
  </si>
  <si>
    <t>I-03</t>
  </si>
  <si>
    <t>R-37</t>
  </si>
  <si>
    <t>No demands or proceedings open on the e-filing portal</t>
  </si>
  <si>
    <t>E-filing portal</t>
  </si>
  <si>
    <t>R-38</t>
  </si>
  <si>
    <t>Advance tax position for loss years documented</t>
  </si>
  <si>
    <t>Computation of income</t>
  </si>
  <si>
    <t>R-39</t>
  </si>
  <si>
    <t>Payments to relatives of directors at fair value (Section 40A(2)(b))</t>
  </si>
  <si>
    <t>Market rent study</t>
  </si>
  <si>
    <t>R-40</t>
  </si>
  <si>
    <t>No international or specified domestic transactions needing a transfer pricing report</t>
  </si>
  <si>
    <t>Form 3CD</t>
  </si>
  <si>
    <t>R-41</t>
  </si>
  <si>
    <t>Payroll and labour</t>
  </si>
  <si>
    <t>PF registration current and every monthly return filed by the 15th</t>
  </si>
  <si>
    <t>ECR challans</t>
  </si>
  <si>
    <t>R-42</t>
  </si>
  <si>
    <t>PF wages include allowances paid to every employee</t>
  </si>
  <si>
    <t>Salary register against ECR</t>
  </si>
  <si>
    <t>I-07</t>
  </si>
  <si>
    <t>R-43</t>
  </si>
  <si>
    <t>ESI contributions for every covered employee</t>
  </si>
  <si>
    <t>ESI challans</t>
  </si>
  <si>
    <t>R-44</t>
  </si>
  <si>
    <t>Professional tax registration and monthly returns in Karnataka</t>
  </si>
  <si>
    <t>PT returns</t>
  </si>
  <si>
    <t>R-45</t>
  </si>
  <si>
    <t>Gratuity nominations held for every employee</t>
  </si>
  <si>
    <t>Nomination forms</t>
  </si>
  <si>
    <t>R-46</t>
  </si>
  <si>
    <t>Internal Committee constituted and the POSH annual report filed</t>
  </si>
  <si>
    <t>IC order; annual report</t>
  </si>
  <si>
    <t>R-47</t>
  </si>
  <si>
    <t>Employment contracts with confidentiality and invention assignment for every employee</t>
  </si>
  <si>
    <t>Contract files</t>
  </si>
  <si>
    <t>R-48</t>
  </si>
  <si>
    <t>Shops and Establishments registration current in Karnataka</t>
  </si>
  <si>
    <t>Registration certificate</t>
  </si>
  <si>
    <t>R-49</t>
  </si>
  <si>
    <t>Payroll applies the ₹25,000 PF wage ceiling notified on 17 September 2026</t>
  </si>
  <si>
    <t>October 2026 ECR</t>
  </si>
  <si>
    <t>R-50</t>
  </si>
  <si>
    <t>Commercial</t>
  </si>
  <si>
    <t>Marketplace and quick commerce agreements signed and current</t>
  </si>
  <si>
    <t>Seller agreements</t>
  </si>
  <si>
    <t>R-51</t>
  </si>
  <si>
    <t>Contract manufacturing agreements cover quality, mould ownership and payment terms</t>
  </si>
  <si>
    <t>Manufacturing agreements</t>
  </si>
  <si>
    <t>R-52</t>
  </si>
  <si>
    <t>Warehouse leases stamped and registered</t>
  </si>
  <si>
    <t>Lease deeds</t>
  </si>
  <si>
    <t>R-53</t>
  </si>
  <si>
    <t>Warranty and returns policies on the website match the provisions in the accounts</t>
  </si>
  <si>
    <t>Website terms; provision working</t>
  </si>
  <si>
    <t>R-54</t>
  </si>
  <si>
    <t>Change-of-control and assignment clauses listed for every material contract</t>
  </si>
  <si>
    <t>Contract abstract</t>
  </si>
  <si>
    <t>R-55</t>
  </si>
  <si>
    <t>Litigation and disputes register shows none open</t>
  </si>
  <si>
    <t>Disputes register; settlement agreement</t>
  </si>
  <si>
    <t>R-56</t>
  </si>
  <si>
    <t>Technology, IP and data</t>
  </si>
  <si>
    <t>Trademark applications for the brand in the classes its products fall in</t>
  </si>
  <si>
    <t>IP India records</t>
  </si>
  <si>
    <t>R-57</t>
  </si>
  <si>
    <t>Website terms and privacy notice current</t>
  </si>
  <si>
    <t>Website</t>
  </si>
  <si>
    <t>R-58</t>
  </si>
  <si>
    <t>A plan for the DPDP Act duties that apply from May 2027</t>
  </si>
  <si>
    <t>DPDP readiness plan</t>
  </si>
  <si>
    <t>R-59</t>
  </si>
  <si>
    <t>Software licences and subscriptions held in the company’s name</t>
  </si>
  <si>
    <t>Licence register</t>
  </si>
  <si>
    <t>R-60</t>
  </si>
  <si>
    <t>Domain names registered to the company, not to a founder</t>
  </si>
  <si>
    <t>Registrar records</t>
  </si>
  <si>
    <t>The request list against the people who answer it</t>
  </si>
  <si>
    <t>The lead's first list by workstream, what the August data room already holds, and the hours each owner can give.</t>
  </si>
  <si>
    <t>Count what the data room already holds</t>
  </si>
  <si>
    <t>Yes</t>
  </si>
  <si>
    <t>Weeks from appointment to the room opening</t>
  </si>
  <si>
    <t>Requests</t>
  </si>
  <si>
    <t>In the room</t>
  </si>
  <si>
    <t>Open</t>
  </si>
  <si>
    <t>Owner</t>
  </si>
  <si>
    <t>Hours each</t>
  </si>
  <si>
    <t>Hours</t>
  </si>
  <si>
    <t>Company secretary</t>
  </si>
  <si>
    <t>Finance lead</t>
  </si>
  <si>
    <t>Tax consultant</t>
  </si>
  <si>
    <t>HR and payroll</t>
  </si>
  <si>
    <t>Founders’ office</t>
  </si>
  <si>
    <t>CTO</t>
  </si>
  <si>
    <t>Open requests</t>
  </si>
  <si>
    <t>Hours a week</t>
  </si>
  <si>
    <t>Weeks</t>
  </si>
  <si>
    <t>Requests on the list</t>
  </si>
  <si>
    <t>Open after the data room</t>
  </si>
  <si>
    <t>Weeks to a complete first pass</t>
  </si>
  <si>
    <t>Slowest owner</t>
  </si>
  <si>
    <t>Weeks to spare before the room opens</t>
  </si>
  <si>
    <t>Readiness by workstream and severity</t>
  </si>
  <si>
    <t>Share of each cell's weight with its evidence in hand. Blank where a cell has no items.</t>
  </si>
  <si>
    <t>Severity weight</t>
  </si>
  <si>
    <t>High</t>
  </si>
  <si>
    <t>Medium</t>
  </si>
  <si>
    <t>Low</t>
  </si>
  <si>
    <t>All</t>
  </si>
  <si>
    <t>Readiness score at the sweep</t>
  </si>
  <si>
    <t>Gaps</t>
  </si>
  <si>
    <t>Unknown items</t>
  </si>
  <si>
    <t>Clean</t>
  </si>
  <si>
    <t>Readiness score, unknowns as gaps</t>
  </si>
  <si>
    <t>Lowest cell</t>
  </si>
  <si>
    <t>Six findings, four routes</t>
  </si>
  <si>
    <t>Counsel first; fix what fits the weeks and costs less than the buyer would take; disclose above the line; leave below it.</t>
  </si>
  <si>
    <t>Weeks left before the room opens</t>
  </si>
  <si>
    <t>Materiality line, ₹ lakh of expected exposure</t>
  </si>
  <si>
    <t>Buyer's caution on what it finds itself</t>
  </si>
  <si>
    <t>Related-party and SHA questions to counsel</t>
  </si>
  <si>
    <t>Finding</t>
  </si>
  <si>
    <t>At stake</t>
  </si>
  <si>
    <t>Probability</t>
  </si>
  <si>
    <t>Expected</t>
  </si>
  <si>
    <t>Cost to fix</t>
  </si>
  <si>
    <t>Weeks to fix</t>
  </si>
  <si>
    <t>Already cured</t>
  </si>
  <si>
    <t>Curable in time</t>
  </si>
  <si>
    <t>Governance</t>
  </si>
  <si>
    <t>Route</t>
  </si>
  <si>
    <t>Small enterprise dues paid late</t>
  </si>
  <si>
    <t>Hoskote lease with a founder’s mother</t>
  </si>
  <si>
    <t>FY25 PF on basic pay only</t>
  </si>
  <si>
    <t>Gratuity without an actuarial valuation</t>
  </si>
  <si>
    <t>ESOP letters before the resolution</t>
  </si>
  <si>
    <t>PAS-3 filed late</t>
  </si>
  <si>
    <t>Findings fixed</t>
  </si>
  <si>
    <t>Findings disclosed</t>
  </si>
  <si>
    <t>Findings left</t>
  </si>
  <si>
    <t>Findings to counsel</t>
  </si>
  <si>
    <t>Expected exposure disclosed</t>
  </si>
  <si>
    <t>Cost of the fixes</t>
  </si>
  <si>
    <t>Exposure workings</t>
  </si>
  <si>
    <t>PAS-3 due date</t>
  </si>
  <si>
    <t>PAS-3 filed</t>
  </si>
  <si>
    <t>Days late</t>
  </si>
  <si>
    <t>Penalty a day, ₹</t>
  </si>
  <si>
    <t>Cap for each person, ₹</t>
  </si>
  <si>
    <t>Persons liable: the company and three directors</t>
  </si>
  <si>
    <t>PAS-3 penalty</t>
  </si>
  <si>
    <t>FY25 support staff paid PF on basic</t>
  </si>
  <si>
    <t>Basic a month, ₹</t>
  </si>
  <si>
    <t>Wages with the universal allowance, ₹</t>
  </si>
  <si>
    <t>PF wage ceiling in FY25, ₹</t>
  </si>
  <si>
    <t>PF, EDLI and administration rate</t>
  </si>
  <si>
    <t>Months</t>
  </si>
  <si>
    <t>FY25 PF shortfall</t>
  </si>
  <si>
    <t>Average months of delay to payment</t>
  </si>
  <si>
    <t>Section 7Q interest rate a year</t>
  </si>
  <si>
    <t>Section 14B damages rate a month</t>
  </si>
  <si>
    <t>Interest</t>
  </si>
  <si>
    <t>Damages</t>
  </si>
  <si>
    <t>FY25 PF with interest and damages</t>
  </si>
  <si>
    <t>Hoskote rent a year</t>
  </si>
  <si>
    <t>Market rent a year</t>
  </si>
  <si>
    <t>Months from April 2024 to December 2026</t>
  </si>
  <si>
    <t>Rent paid above market</t>
  </si>
  <si>
    <t>Small enterprise dues beyond 45 days at 31 March 2026</t>
  </si>
  <si>
    <t>Days overdue when paid</t>
  </si>
  <si>
    <t>Bank rate</t>
  </si>
  <si>
    <t>Section 16 interest paid</t>
  </si>
  <si>
    <t>Gratuity shortfall against an actuarial valuation, estimate</t>
  </si>
  <si>
    <t>The remediation plan</t>
  </si>
  <si>
    <t>Ten actions, each with one owner, what it waits for, its duration and the document that closes it.</t>
  </si>
  <si>
    <t>Action</t>
  </si>
  <si>
    <t>Waits for</t>
  </si>
  <si>
    <t>Evidence of closure</t>
  </si>
  <si>
    <t>A</t>
  </si>
  <si>
    <t>Actuarial valuation of gratuity</t>
  </si>
  <si>
    <t>Nothing</t>
  </si>
  <si>
    <t>Actuary’s report</t>
  </si>
  <si>
    <t>B</t>
  </si>
  <si>
    <t>FY25 PF shortfall computed by employee and month</t>
  </si>
  <si>
    <t>Working by employee</t>
  </si>
  <si>
    <t>C</t>
  </si>
  <si>
    <t>Revised PF returns filed and paid with interest</t>
  </si>
  <si>
    <t>Return numbers and challans</t>
  </si>
  <si>
    <t>D</t>
  </si>
  <si>
    <t>Market rent study for the Hoskote warehouse</t>
  </si>
  <si>
    <t>Valuer’s letter</t>
  </si>
  <si>
    <t>E</t>
  </si>
  <si>
    <t>Board meeting: lease on market terms, ESOP regrant, PAS-3 position</t>
  </si>
  <si>
    <t>Signed minutes</t>
  </si>
  <si>
    <t>F</t>
  </si>
  <si>
    <t>Investor consent under the SHA</t>
  </si>
  <si>
    <t>Consent letter</t>
  </si>
  <si>
    <t>G</t>
  </si>
  <si>
    <t>ESOP regrant letters issued</t>
  </si>
  <si>
    <t>E, F</t>
  </si>
  <si>
    <t>Resolution and grant letters</t>
  </si>
  <si>
    <t>H</t>
  </si>
  <si>
    <t>Counsel’s note on the PAS-3 penalty</t>
  </si>
  <si>
    <t>Counsel’s note</t>
  </si>
  <si>
    <t>I</t>
  </si>
  <si>
    <t>Adjudication application filed with the Registrar</t>
  </si>
  <si>
    <t>Filing acknowledgement</t>
  </si>
  <si>
    <t>J</t>
  </si>
  <si>
    <t>Board takes the readiness report and the gratuity true-up</t>
  </si>
  <si>
    <t>A, C, G, I</t>
  </si>
  <si>
    <t>The critical path against 4 January 2027</t>
  </si>
  <si>
    <t>Each action starts when everything it waits for has finished. Weeks count from the plan's start.</t>
  </si>
  <si>
    <t>Sweep closes</t>
  </si>
  <si>
    <t>Term sheet and data room</t>
  </si>
  <si>
    <t>Investor consent sought alongside the board meeting</t>
  </si>
  <si>
    <t>Weeks after the sweep before the plan starts</t>
  </si>
  <si>
    <t>Starts</t>
  </si>
  <si>
    <t>Finishes</t>
  </si>
  <si>
    <t>Plan weeks</t>
  </si>
  <si>
    <t>Finish date</t>
  </si>
  <si>
    <t>Days to spare before 4 January</t>
  </si>
  <si>
    <t>The one-page report on 4 January 2027</t>
  </si>
  <si>
    <t>What the plan closed, the score on the same weights, and the three findings the founder hears first.</t>
  </si>
  <si>
    <t>FY25 PF paid with interest</t>
  </si>
  <si>
    <t>Gratuity valued by an actuary</t>
  </si>
  <si>
    <t>ESOP regranted after consent</t>
  </si>
  <si>
    <t>Lease approved on market terms with consent</t>
  </si>
  <si>
    <t>Evidence requests for the unknowns returned</t>
  </si>
  <si>
    <t>Price effect if found</t>
  </si>
  <si>
    <t>After the plan</t>
  </si>
  <si>
    <t>Hoskote lease above market</t>
  </si>
  <si>
    <t>Price effect before the plan</t>
  </si>
  <si>
    <t>Price effect after the plan</t>
  </si>
  <si>
    <t>Price the plan protects</t>
  </si>
  <si>
    <t>Rank</t>
  </si>
  <si>
    <t>Finding the founder hears first</t>
  </si>
  <si>
    <t>Price effect</t>
  </si>
  <si>
    <t>Readiness score on 4 January</t>
  </si>
  <si>
    <t>At the sweep</t>
  </si>
  <si>
    <t>On 4 January</t>
  </si>
  <si>
    <t>Specification for an AI tool</t>
  </si>
  <si>
    <t>Attach this workbook and give the tool the text below. Score its answer against 09_Answer_Check.</t>
  </si>
  <si>
    <t>Company: Kalasu Home Appliances Private Limited, an unlisted Indian private company under Accounting Standards. Series B term sheet and data room on 4 January 2027; the sweep closed on 13 November 2026.</t>
  </si>
  <si>
    <t>Score 01_Checklist by severity: weight high 3, medium 2, low 1; credit clean 1, unknown 0.5 (or 0 if unknowns are gaps), gap 0. Never score an unknown as clean.</t>
  </si>
  <si>
    <t>Load 02_Request_Load: open requests are requests less what the data room already holds; hours are open requests times hours each; weeks are an owner's hours over the hours a week they can give; the first pass ends when the slowest owner ends.</t>
  </si>
  <si>
    <t>Route each finding in 04_Triage: counsel first for related-party and SHA questions; fix when the cure fits the weeks left and costs no more than the expected exposure times the caution factor; disclose when the expected exposure is at or above the line; otherwise leave. A cured default is still disclosed.</t>
  </si>
  <si>
    <t>5</t>
  </si>
  <si>
    <t>Build 06_Critical_Path: each action starts when everything it waits for has finished. Report the finish date and the days to spare before 4 January 2027.</t>
  </si>
  <si>
    <t>6</t>
  </si>
  <si>
    <t>Report 07_Report: lead with the three findings with the largest price effect after the plan, then the score at the sweep and on 4 January on the same weights, then what is fixed, disclosed and still unknown.</t>
  </si>
  <si>
    <t>7</t>
  </si>
  <si>
    <t>Cite the Companies Act, 2013 sections 42(8), 42(9), 188(3), 403 and 454; the EPF Act, 1952 sections 7Q and 14B and the Code on Social Security, 2020 from 21 November 2025; Section 43B(h) of the 1961 Act and Section 37(2)(g) with 37(3) of the 2025 Act.</t>
  </si>
  <si>
    <t>Answer check</t>
  </si>
  <si>
    <t>Course figures against this workbook's formulas. A status of Agrees means the difference is within the tolerance.</t>
  </si>
  <si>
    <t>Figure</t>
  </si>
  <si>
    <t>Course figure</t>
  </si>
  <si>
    <t>This workbook</t>
  </si>
  <si>
    <t>Difference</t>
  </si>
  <si>
    <t>Tolerance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</si>
</sst>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;\(0.0%\);&quot;-&quot;"/>
    <numFmt numFmtId="165" formatCode="#,##0;\(#,##0\);&quot;-&quot;"/>
    <numFmt numFmtId="167" formatCode="dd\ mmm\ yyyy"/>
    <numFmt numFmtId="168" formatCode="#,##0.00;\(#,##0.00\);&quot;-&quot;"/>
  </numFmts>
  <fonts count="8" x14ac:knownFonts="1">
    <font>
      <sz val="11"/>
      <color theme="1"/>
      <name val="Calibri"/>
      <family val="2"/>
      <scheme val="minor"/>
    </font>
    <font>
      <b/>
      <sz val="14"/>
      <color rgb="FFF3F4F5"/>
      <name val="Arial"/>
    </font>
    <font>
      <sz val="9"/>
      <color rgb="FF41627D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FF"/>
      <name val="Arial"/>
    </font>
    <font>
      <sz val="10"/>
      <color rgb="FF008000"/>
      <name val="Arial"/>
    </font>
    <font>
      <b/>
      <sz val="10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C0C0F"/>
      </patternFill>
    </fill>
    <fill>
      <patternFill patternType="solid">
        <fgColor rgb="FFFFFF00"/>
      </patternFill>
    </fill>
    <fill>
      <patternFill patternType="solid">
        <fgColor rgb="FFEAEB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  <xf numFmtId="165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5" fillId="3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7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/>
  </sheetViews>
  <sheetFormatPr defaultRowHeight="14.5" x14ac:dyDescent="0.35"/>
  <cols>
    <col min="1" max="1" width="34" customWidth="1"/>
    <col min="2" max="2" width="100" customWidth="1"/>
  </cols>
  <sheetData>
    <row r="1" spans="1:2" ht="24" customHeight="1" x14ac:dyDescent="0.4">
      <c r="A1" s="1" t="s">
        <v>0</v>
      </c>
      <c r="B1" s="2"/>
    </row>
    <row r="2" spans="1:2" x14ac:dyDescent="0.35">
      <c r="A2" s="3" t="s">
        <v>1</v>
      </c>
    </row>
    <row r="4" spans="1:2" x14ac:dyDescent="0.35">
      <c r="A4" s="4" t="s">
        <v>2</v>
      </c>
    </row>
    <row r="5" spans="1:2" x14ac:dyDescent="0.35">
      <c r="A5" s="5" t="s">
        <v>3</v>
      </c>
      <c r="B5" s="5" t="s">
        <v>4</v>
      </c>
    </row>
    <row r="6" spans="1:2" ht="25" x14ac:dyDescent="0.35">
      <c r="A6" s="5" t="s">
        <v>5</v>
      </c>
      <c r="B6" s="5" t="s">
        <v>6</v>
      </c>
    </row>
    <row r="7" spans="1:2" x14ac:dyDescent="0.35">
      <c r="A7" s="5" t="s">
        <v>7</v>
      </c>
      <c r="B7" s="5" t="s">
        <v>8</v>
      </c>
    </row>
    <row r="8" spans="1:2" x14ac:dyDescent="0.35">
      <c r="A8" s="5" t="s">
        <v>9</v>
      </c>
      <c r="B8" s="5" t="s">
        <v>10</v>
      </c>
    </row>
    <row r="10" spans="1:2" x14ac:dyDescent="0.35">
      <c r="A10" s="4" t="s">
        <v>11</v>
      </c>
    </row>
    <row r="11" spans="1:2" x14ac:dyDescent="0.35">
      <c r="A11" s="6" t="s">
        <v>12</v>
      </c>
      <c r="B11" s="5" t="s">
        <v>13</v>
      </c>
    </row>
    <row r="12" spans="1:2" x14ac:dyDescent="0.35">
      <c r="A12" s="5" t="s">
        <v>14</v>
      </c>
      <c r="B12" s="5" t="s">
        <v>15</v>
      </c>
    </row>
    <row r="13" spans="1:2" x14ac:dyDescent="0.35">
      <c r="A13" s="7" t="s">
        <v>16</v>
      </c>
      <c r="B13" s="5" t="s">
        <v>17</v>
      </c>
    </row>
    <row r="14" spans="1:2" x14ac:dyDescent="0.35">
      <c r="A14" s="8" t="s">
        <v>18</v>
      </c>
      <c r="B14" s="5" t="s">
        <v>19</v>
      </c>
    </row>
    <row r="16" spans="1:2" x14ac:dyDescent="0.35">
      <c r="A16" s="4" t="s">
        <v>20</v>
      </c>
    </row>
    <row r="17" spans="1:2" x14ac:dyDescent="0.35">
      <c r="A17" s="5" t="s">
        <v>21</v>
      </c>
      <c r="B17" s="5" t="s">
        <v>22</v>
      </c>
    </row>
    <row r="18" spans="1:2" x14ac:dyDescent="0.35">
      <c r="A18" s="5" t="s">
        <v>23</v>
      </c>
      <c r="B18" s="5" t="s">
        <v>24</v>
      </c>
    </row>
    <row r="19" spans="1:2" x14ac:dyDescent="0.35">
      <c r="A19" s="5" t="s">
        <v>25</v>
      </c>
      <c r="B19" s="5" t="s">
        <v>26</v>
      </c>
    </row>
    <row r="20" spans="1:2" x14ac:dyDescent="0.35">
      <c r="A20" s="5" t="s">
        <v>27</v>
      </c>
      <c r="B20" s="5" t="s">
        <v>28</v>
      </c>
    </row>
    <row r="21" spans="1:2" x14ac:dyDescent="0.35">
      <c r="A21" s="5" t="s">
        <v>29</v>
      </c>
      <c r="B21" s="5" t="s">
        <v>30</v>
      </c>
    </row>
    <row r="22" spans="1:2" x14ac:dyDescent="0.35">
      <c r="A22" s="5" t="s">
        <v>31</v>
      </c>
      <c r="B22" s="5" t="s">
        <v>32</v>
      </c>
    </row>
    <row r="23" spans="1:2" x14ac:dyDescent="0.35">
      <c r="A23" s="5" t="s">
        <v>33</v>
      </c>
      <c r="B23" s="5" t="s">
        <v>34</v>
      </c>
    </row>
    <row r="24" spans="1:2" x14ac:dyDescent="0.35">
      <c r="A24" s="5" t="s">
        <v>35</v>
      </c>
      <c r="B24" s="5" t="s">
        <v>36</v>
      </c>
    </row>
    <row r="25" spans="1:2" x14ac:dyDescent="0.35">
      <c r="A25" s="5" t="s">
        <v>37</v>
      </c>
      <c r="B25" s="5" t="s">
        <v>38</v>
      </c>
    </row>
    <row r="27" spans="1:2" x14ac:dyDescent="0.35">
      <c r="A27" s="4" t="s">
        <v>39</v>
      </c>
    </row>
    <row r="28" spans="1:2" x14ac:dyDescent="0.35">
      <c r="A28" s="5" t="s">
        <v>40</v>
      </c>
      <c r="B28" s="5" t="s">
        <v>41</v>
      </c>
    </row>
    <row r="29" spans="1:2" x14ac:dyDescent="0.35">
      <c r="A29" s="5" t="s">
        <v>42</v>
      </c>
      <c r="B29" s="5" t="s">
        <v>43</v>
      </c>
    </row>
    <row r="30" spans="1:2" x14ac:dyDescent="0.35">
      <c r="A30" s="5" t="s">
        <v>44</v>
      </c>
      <c r="B30" s="5" t="s">
        <v>45</v>
      </c>
    </row>
    <row r="31" spans="1:2" x14ac:dyDescent="0.35">
      <c r="A31" s="5" t="s">
        <v>46</v>
      </c>
      <c r="B31" s="5" t="s">
        <v>47</v>
      </c>
    </row>
    <row r="32" spans="1:2" x14ac:dyDescent="0.35">
      <c r="A32" s="5" t="s">
        <v>48</v>
      </c>
      <c r="B32" s="5" t="s">
        <v>49</v>
      </c>
    </row>
    <row r="33" spans="1:2" x14ac:dyDescent="0.35">
      <c r="A33" s="5" t="s">
        <v>50</v>
      </c>
      <c r="B33" s="5" t="s">
        <v>51</v>
      </c>
    </row>
    <row r="34" spans="1:2" x14ac:dyDescent="0.35">
      <c r="A34" s="5" t="s">
        <v>52</v>
      </c>
      <c r="B34" s="5" t="s">
        <v>53</v>
      </c>
    </row>
    <row r="35" spans="1:2" x14ac:dyDescent="0.35">
      <c r="A35" s="5" t="s">
        <v>54</v>
      </c>
      <c r="B35" s="5" t="s">
        <v>55</v>
      </c>
    </row>
    <row r="36" spans="1:2" x14ac:dyDescent="0.35">
      <c r="A36" s="5" t="s">
        <v>56</v>
      </c>
      <c r="B36" s="5" t="s">
        <v>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7"/>
  <sheetViews>
    <sheetView workbookViewId="0"/>
  </sheetViews>
  <sheetFormatPr defaultRowHeight="14.5" x14ac:dyDescent="0.35"/>
  <cols>
    <col min="1" max="1" width="8" customWidth="1"/>
    <col min="2" max="2" width="24" customWidth="1"/>
    <col min="3" max="3" width="62" customWidth="1"/>
    <col min="4" max="4" width="9" customWidth="1"/>
    <col min="5" max="5" width="10" customWidth="1"/>
    <col min="6" max="6" width="34" customWidth="1"/>
    <col min="7" max="9" width="8" customWidth="1"/>
  </cols>
  <sheetData>
    <row r="1" spans="1:9" ht="24" customHeight="1" x14ac:dyDescent="0.4">
      <c r="A1" s="1" t="s">
        <v>58</v>
      </c>
      <c r="B1" s="2"/>
      <c r="C1" s="2"/>
      <c r="D1" s="2"/>
      <c r="E1" s="2"/>
      <c r="F1" s="2"/>
      <c r="G1" s="2"/>
      <c r="H1" s="2"/>
      <c r="I1" s="2"/>
    </row>
    <row r="2" spans="1:9" x14ac:dyDescent="0.35">
      <c r="A2" s="3" t="s">
        <v>59</v>
      </c>
    </row>
    <row r="4" spans="1:9" ht="37.5" x14ac:dyDescent="0.35">
      <c r="A4" s="5" t="s">
        <v>60</v>
      </c>
      <c r="C4" s="9" t="s">
        <v>61</v>
      </c>
    </row>
    <row r="5" spans="1:9" ht="39" x14ac:dyDescent="0.35">
      <c r="A5" s="10" t="s">
        <v>62</v>
      </c>
      <c r="C5" s="11">
        <f>SUMPRODUCT(G8:G67,H8:H67)/SUM(G8:G67)</f>
        <v>0.79133858267716539</v>
      </c>
    </row>
    <row r="7" spans="1:9" x14ac:dyDescent="0.35">
      <c r="A7" s="12" t="s">
        <v>63</v>
      </c>
      <c r="B7" s="13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</row>
    <row r="8" spans="1:9" x14ac:dyDescent="0.35">
      <c r="A8" s="5" t="s">
        <v>72</v>
      </c>
      <c r="B8" s="5" t="s">
        <v>73</v>
      </c>
      <c r="C8" s="5" t="s">
        <v>74</v>
      </c>
      <c r="D8" s="14">
        <v>3</v>
      </c>
      <c r="E8" s="9" t="s">
        <v>75</v>
      </c>
      <c r="F8" s="5" t="s">
        <v>76</v>
      </c>
      <c r="G8" s="15">
        <f t="shared" ref="G8:G39" si="0">D8</f>
        <v>3</v>
      </c>
      <c r="H8" s="16">
        <f t="shared" ref="H8:H39" si="1">IF(E8="clean",1,IF(E8="unknown",IF($C$4="Yes",0,0.5),0))</f>
        <v>1</v>
      </c>
      <c r="I8" s="5"/>
    </row>
    <row r="9" spans="1:9" x14ac:dyDescent="0.35">
      <c r="A9" s="5" t="s">
        <v>77</v>
      </c>
      <c r="B9" s="5" t="s">
        <v>73</v>
      </c>
      <c r="C9" s="5" t="s">
        <v>78</v>
      </c>
      <c r="D9" s="14">
        <v>3</v>
      </c>
      <c r="E9" s="9" t="s">
        <v>75</v>
      </c>
      <c r="F9" s="5" t="s">
        <v>79</v>
      </c>
      <c r="G9" s="15">
        <f t="shared" si="0"/>
        <v>3</v>
      </c>
      <c r="H9" s="16">
        <f t="shared" si="1"/>
        <v>1</v>
      </c>
      <c r="I9" s="5"/>
    </row>
    <row r="10" spans="1:9" ht="25" x14ac:dyDescent="0.35">
      <c r="A10" s="5" t="s">
        <v>80</v>
      </c>
      <c r="B10" s="5" t="s">
        <v>73</v>
      </c>
      <c r="C10" s="5" t="s">
        <v>81</v>
      </c>
      <c r="D10" s="14">
        <v>3</v>
      </c>
      <c r="E10" s="9" t="s">
        <v>75</v>
      </c>
      <c r="F10" s="5" t="s">
        <v>82</v>
      </c>
      <c r="G10" s="15">
        <f t="shared" si="0"/>
        <v>3</v>
      </c>
      <c r="H10" s="16">
        <f t="shared" si="1"/>
        <v>1</v>
      </c>
      <c r="I10" s="5"/>
    </row>
    <row r="11" spans="1:9" x14ac:dyDescent="0.35">
      <c r="A11" s="5" t="s">
        <v>83</v>
      </c>
      <c r="B11" s="5" t="s">
        <v>73</v>
      </c>
      <c r="C11" s="5" t="s">
        <v>84</v>
      </c>
      <c r="D11" s="14">
        <v>3</v>
      </c>
      <c r="E11" s="9" t="s">
        <v>85</v>
      </c>
      <c r="F11" s="5" t="s">
        <v>86</v>
      </c>
      <c r="G11" s="15">
        <f t="shared" si="0"/>
        <v>3</v>
      </c>
      <c r="H11" s="16">
        <f t="shared" si="1"/>
        <v>0</v>
      </c>
      <c r="I11" s="5" t="s">
        <v>87</v>
      </c>
    </row>
    <row r="12" spans="1:9" x14ac:dyDescent="0.35">
      <c r="A12" s="5" t="s">
        <v>88</v>
      </c>
      <c r="B12" s="5" t="s">
        <v>73</v>
      </c>
      <c r="C12" s="5" t="s">
        <v>89</v>
      </c>
      <c r="D12" s="14">
        <v>3</v>
      </c>
      <c r="E12" s="9" t="s">
        <v>85</v>
      </c>
      <c r="F12" s="5" t="s">
        <v>90</v>
      </c>
      <c r="G12" s="15">
        <f t="shared" si="0"/>
        <v>3</v>
      </c>
      <c r="H12" s="16">
        <f t="shared" si="1"/>
        <v>0</v>
      </c>
      <c r="I12" s="5" t="s">
        <v>91</v>
      </c>
    </row>
    <row r="13" spans="1:9" x14ac:dyDescent="0.35">
      <c r="A13" s="5" t="s">
        <v>92</v>
      </c>
      <c r="B13" s="5" t="s">
        <v>73</v>
      </c>
      <c r="C13" s="5" t="s">
        <v>93</v>
      </c>
      <c r="D13" s="14">
        <v>2</v>
      </c>
      <c r="E13" s="9" t="s">
        <v>75</v>
      </c>
      <c r="F13" s="5" t="s">
        <v>94</v>
      </c>
      <c r="G13" s="15">
        <f t="shared" si="0"/>
        <v>2</v>
      </c>
      <c r="H13" s="16">
        <f t="shared" si="1"/>
        <v>1</v>
      </c>
      <c r="I13" s="5"/>
    </row>
    <row r="14" spans="1:9" ht="25" x14ac:dyDescent="0.35">
      <c r="A14" s="5" t="s">
        <v>95</v>
      </c>
      <c r="B14" s="5" t="s">
        <v>73</v>
      </c>
      <c r="C14" s="5" t="s">
        <v>96</v>
      </c>
      <c r="D14" s="14">
        <v>2</v>
      </c>
      <c r="E14" s="9" t="s">
        <v>75</v>
      </c>
      <c r="F14" s="5" t="s">
        <v>97</v>
      </c>
      <c r="G14" s="15">
        <f t="shared" si="0"/>
        <v>2</v>
      </c>
      <c r="H14" s="16">
        <f t="shared" si="1"/>
        <v>1</v>
      </c>
      <c r="I14" s="5"/>
    </row>
    <row r="15" spans="1:9" ht="25" x14ac:dyDescent="0.35">
      <c r="A15" s="5" t="s">
        <v>98</v>
      </c>
      <c r="B15" s="5" t="s">
        <v>73</v>
      </c>
      <c r="C15" s="5" t="s">
        <v>99</v>
      </c>
      <c r="D15" s="14">
        <v>3</v>
      </c>
      <c r="E15" s="9" t="s">
        <v>85</v>
      </c>
      <c r="F15" s="5" t="s">
        <v>100</v>
      </c>
      <c r="G15" s="15">
        <f t="shared" si="0"/>
        <v>3</v>
      </c>
      <c r="H15" s="16">
        <f t="shared" si="1"/>
        <v>0</v>
      </c>
      <c r="I15" s="5" t="s">
        <v>101</v>
      </c>
    </row>
    <row r="16" spans="1:9" ht="25" x14ac:dyDescent="0.35">
      <c r="A16" s="5" t="s">
        <v>102</v>
      </c>
      <c r="B16" s="5" t="s">
        <v>73</v>
      </c>
      <c r="C16" s="5" t="s">
        <v>103</v>
      </c>
      <c r="D16" s="14">
        <v>2</v>
      </c>
      <c r="E16" s="9" t="s">
        <v>75</v>
      </c>
      <c r="F16" s="5" t="s">
        <v>104</v>
      </c>
      <c r="G16" s="15">
        <f t="shared" si="0"/>
        <v>2</v>
      </c>
      <c r="H16" s="16">
        <f t="shared" si="1"/>
        <v>1</v>
      </c>
      <c r="I16" s="5"/>
    </row>
    <row r="17" spans="1:9" x14ac:dyDescent="0.35">
      <c r="A17" s="5" t="s">
        <v>105</v>
      </c>
      <c r="B17" s="5" t="s">
        <v>73</v>
      </c>
      <c r="C17" s="5" t="s">
        <v>106</v>
      </c>
      <c r="D17" s="14">
        <v>2</v>
      </c>
      <c r="E17" s="9" t="s">
        <v>75</v>
      </c>
      <c r="F17" s="5" t="s">
        <v>107</v>
      </c>
      <c r="G17" s="15">
        <f t="shared" si="0"/>
        <v>2</v>
      </c>
      <c r="H17" s="16">
        <f t="shared" si="1"/>
        <v>1</v>
      </c>
      <c r="I17" s="5"/>
    </row>
    <row r="18" spans="1:9" x14ac:dyDescent="0.35">
      <c r="A18" s="5" t="s">
        <v>108</v>
      </c>
      <c r="B18" s="5" t="s">
        <v>73</v>
      </c>
      <c r="C18" s="5" t="s">
        <v>109</v>
      </c>
      <c r="D18" s="14">
        <v>1</v>
      </c>
      <c r="E18" s="9" t="s">
        <v>75</v>
      </c>
      <c r="F18" s="5" t="s">
        <v>110</v>
      </c>
      <c r="G18" s="15">
        <f t="shared" si="0"/>
        <v>1</v>
      </c>
      <c r="H18" s="16">
        <f t="shared" si="1"/>
        <v>1</v>
      </c>
      <c r="I18" s="5"/>
    </row>
    <row r="19" spans="1:9" x14ac:dyDescent="0.35">
      <c r="A19" s="5" t="s">
        <v>111</v>
      </c>
      <c r="B19" s="5" t="s">
        <v>73</v>
      </c>
      <c r="C19" s="5" t="s">
        <v>112</v>
      </c>
      <c r="D19" s="14">
        <v>2</v>
      </c>
      <c r="E19" s="9" t="s">
        <v>113</v>
      </c>
      <c r="F19" s="5" t="s">
        <v>114</v>
      </c>
      <c r="G19" s="15">
        <f t="shared" si="0"/>
        <v>2</v>
      </c>
      <c r="H19" s="16">
        <f t="shared" si="1"/>
        <v>0.5</v>
      </c>
      <c r="I19" s="5"/>
    </row>
    <row r="20" spans="1:9" x14ac:dyDescent="0.35">
      <c r="A20" s="5" t="s">
        <v>115</v>
      </c>
      <c r="B20" s="5" t="s">
        <v>116</v>
      </c>
      <c r="C20" s="5" t="s">
        <v>117</v>
      </c>
      <c r="D20" s="14">
        <v>3</v>
      </c>
      <c r="E20" s="9" t="s">
        <v>75</v>
      </c>
      <c r="F20" s="5" t="s">
        <v>118</v>
      </c>
      <c r="G20" s="15">
        <f t="shared" si="0"/>
        <v>3</v>
      </c>
      <c r="H20" s="16">
        <f t="shared" si="1"/>
        <v>1</v>
      </c>
      <c r="I20" s="5"/>
    </row>
    <row r="21" spans="1:9" x14ac:dyDescent="0.35">
      <c r="A21" s="5" t="s">
        <v>119</v>
      </c>
      <c r="B21" s="5" t="s">
        <v>116</v>
      </c>
      <c r="C21" s="5" t="s">
        <v>120</v>
      </c>
      <c r="D21" s="14">
        <v>2</v>
      </c>
      <c r="E21" s="9" t="s">
        <v>75</v>
      </c>
      <c r="F21" s="5" t="s">
        <v>121</v>
      </c>
      <c r="G21" s="15">
        <f t="shared" si="0"/>
        <v>2</v>
      </c>
      <c r="H21" s="16">
        <f t="shared" si="1"/>
        <v>1</v>
      </c>
      <c r="I21" s="5"/>
    </row>
    <row r="22" spans="1:9" x14ac:dyDescent="0.35">
      <c r="A22" s="5" t="s">
        <v>122</v>
      </c>
      <c r="B22" s="5" t="s">
        <v>116</v>
      </c>
      <c r="C22" s="5" t="s">
        <v>123</v>
      </c>
      <c r="D22" s="14">
        <v>2</v>
      </c>
      <c r="E22" s="9" t="s">
        <v>75</v>
      </c>
      <c r="F22" s="5" t="s">
        <v>124</v>
      </c>
      <c r="G22" s="15">
        <f t="shared" si="0"/>
        <v>2</v>
      </c>
      <c r="H22" s="16">
        <f t="shared" si="1"/>
        <v>1</v>
      </c>
      <c r="I22" s="5"/>
    </row>
    <row r="23" spans="1:9" x14ac:dyDescent="0.35">
      <c r="A23" s="5" t="s">
        <v>125</v>
      </c>
      <c r="B23" s="5" t="s">
        <v>116</v>
      </c>
      <c r="C23" s="5" t="s">
        <v>126</v>
      </c>
      <c r="D23" s="14">
        <v>2</v>
      </c>
      <c r="E23" s="9" t="s">
        <v>75</v>
      </c>
      <c r="F23" s="5" t="s">
        <v>127</v>
      </c>
      <c r="G23" s="15">
        <f t="shared" si="0"/>
        <v>2</v>
      </c>
      <c r="H23" s="16">
        <f t="shared" si="1"/>
        <v>1</v>
      </c>
      <c r="I23" s="5"/>
    </row>
    <row r="24" spans="1:9" x14ac:dyDescent="0.35">
      <c r="A24" s="5" t="s">
        <v>128</v>
      </c>
      <c r="B24" s="5" t="s">
        <v>116</v>
      </c>
      <c r="C24" s="5" t="s">
        <v>129</v>
      </c>
      <c r="D24" s="14">
        <v>3</v>
      </c>
      <c r="E24" s="9" t="s">
        <v>75</v>
      </c>
      <c r="F24" s="5" t="s">
        <v>130</v>
      </c>
      <c r="G24" s="15">
        <f t="shared" si="0"/>
        <v>3</v>
      </c>
      <c r="H24" s="16">
        <f t="shared" si="1"/>
        <v>1</v>
      </c>
      <c r="I24" s="5"/>
    </row>
    <row r="25" spans="1:9" x14ac:dyDescent="0.35">
      <c r="A25" s="5" t="s">
        <v>131</v>
      </c>
      <c r="B25" s="5" t="s">
        <v>116</v>
      </c>
      <c r="C25" s="5" t="s">
        <v>132</v>
      </c>
      <c r="D25" s="14">
        <v>2</v>
      </c>
      <c r="E25" s="9" t="s">
        <v>75</v>
      </c>
      <c r="F25" s="5" t="s">
        <v>133</v>
      </c>
      <c r="G25" s="15">
        <f t="shared" si="0"/>
        <v>2</v>
      </c>
      <c r="H25" s="16">
        <f t="shared" si="1"/>
        <v>1</v>
      </c>
      <c r="I25" s="5"/>
    </row>
    <row r="26" spans="1:9" x14ac:dyDescent="0.35">
      <c r="A26" s="5" t="s">
        <v>134</v>
      </c>
      <c r="B26" s="5" t="s">
        <v>116</v>
      </c>
      <c r="C26" s="5" t="s">
        <v>135</v>
      </c>
      <c r="D26" s="14">
        <v>2</v>
      </c>
      <c r="E26" s="9" t="s">
        <v>85</v>
      </c>
      <c r="F26" s="5" t="s">
        <v>136</v>
      </c>
      <c r="G26" s="15">
        <f t="shared" si="0"/>
        <v>2</v>
      </c>
      <c r="H26" s="16">
        <f t="shared" si="1"/>
        <v>0</v>
      </c>
      <c r="I26" s="5" t="s">
        <v>137</v>
      </c>
    </row>
    <row r="27" spans="1:9" x14ac:dyDescent="0.35">
      <c r="A27" s="5" t="s">
        <v>138</v>
      </c>
      <c r="B27" s="5" t="s">
        <v>116</v>
      </c>
      <c r="C27" s="5" t="s">
        <v>139</v>
      </c>
      <c r="D27" s="14">
        <v>2</v>
      </c>
      <c r="E27" s="9" t="s">
        <v>113</v>
      </c>
      <c r="F27" s="5" t="s">
        <v>140</v>
      </c>
      <c r="G27" s="15">
        <f t="shared" si="0"/>
        <v>2</v>
      </c>
      <c r="H27" s="16">
        <f t="shared" si="1"/>
        <v>0.5</v>
      </c>
      <c r="I27" s="5"/>
    </row>
    <row r="28" spans="1:9" x14ac:dyDescent="0.35">
      <c r="A28" s="5" t="s">
        <v>141</v>
      </c>
      <c r="B28" s="5" t="s">
        <v>116</v>
      </c>
      <c r="C28" s="5" t="s">
        <v>142</v>
      </c>
      <c r="D28" s="14">
        <v>2</v>
      </c>
      <c r="E28" s="9" t="s">
        <v>75</v>
      </c>
      <c r="F28" s="5" t="s">
        <v>143</v>
      </c>
      <c r="G28" s="15">
        <f t="shared" si="0"/>
        <v>2</v>
      </c>
      <c r="H28" s="16">
        <f t="shared" si="1"/>
        <v>1</v>
      </c>
      <c r="I28" s="5"/>
    </row>
    <row r="29" spans="1:9" x14ac:dyDescent="0.35">
      <c r="A29" s="5" t="s">
        <v>144</v>
      </c>
      <c r="B29" s="5" t="s">
        <v>116</v>
      </c>
      <c r="C29" s="5" t="s">
        <v>145</v>
      </c>
      <c r="D29" s="14">
        <v>2</v>
      </c>
      <c r="E29" s="9" t="s">
        <v>75</v>
      </c>
      <c r="F29" s="5" t="s">
        <v>146</v>
      </c>
      <c r="G29" s="15">
        <f t="shared" si="0"/>
        <v>2</v>
      </c>
      <c r="H29" s="16">
        <f t="shared" si="1"/>
        <v>1</v>
      </c>
      <c r="I29" s="5"/>
    </row>
    <row r="30" spans="1:9" x14ac:dyDescent="0.35">
      <c r="A30" s="5" t="s">
        <v>147</v>
      </c>
      <c r="B30" s="5" t="s">
        <v>148</v>
      </c>
      <c r="C30" s="5" t="s">
        <v>149</v>
      </c>
      <c r="D30" s="14">
        <v>2</v>
      </c>
      <c r="E30" s="9" t="s">
        <v>75</v>
      </c>
      <c r="F30" s="5" t="s">
        <v>150</v>
      </c>
      <c r="G30" s="15">
        <f t="shared" si="0"/>
        <v>2</v>
      </c>
      <c r="H30" s="16">
        <f t="shared" si="1"/>
        <v>1</v>
      </c>
      <c r="I30" s="5"/>
    </row>
    <row r="31" spans="1:9" x14ac:dyDescent="0.35">
      <c r="A31" s="5" t="s">
        <v>151</v>
      </c>
      <c r="B31" s="5" t="s">
        <v>148</v>
      </c>
      <c r="C31" s="5" t="s">
        <v>152</v>
      </c>
      <c r="D31" s="14">
        <v>3</v>
      </c>
      <c r="E31" s="9" t="s">
        <v>75</v>
      </c>
      <c r="F31" s="5" t="s">
        <v>153</v>
      </c>
      <c r="G31" s="15">
        <f t="shared" si="0"/>
        <v>3</v>
      </c>
      <c r="H31" s="16">
        <f t="shared" si="1"/>
        <v>1</v>
      </c>
      <c r="I31" s="5"/>
    </row>
    <row r="32" spans="1:9" x14ac:dyDescent="0.35">
      <c r="A32" s="5" t="s">
        <v>154</v>
      </c>
      <c r="B32" s="5" t="s">
        <v>148</v>
      </c>
      <c r="C32" s="5" t="s">
        <v>155</v>
      </c>
      <c r="D32" s="14">
        <v>2</v>
      </c>
      <c r="E32" s="9" t="s">
        <v>75</v>
      </c>
      <c r="F32" s="5" t="s">
        <v>156</v>
      </c>
      <c r="G32" s="15">
        <f t="shared" si="0"/>
        <v>2</v>
      </c>
      <c r="H32" s="16">
        <f t="shared" si="1"/>
        <v>1</v>
      </c>
      <c r="I32" s="5"/>
    </row>
    <row r="33" spans="1:9" x14ac:dyDescent="0.35">
      <c r="A33" s="5" t="s">
        <v>157</v>
      </c>
      <c r="B33" s="5" t="s">
        <v>148</v>
      </c>
      <c r="C33" s="5" t="s">
        <v>158</v>
      </c>
      <c r="D33" s="14">
        <v>2</v>
      </c>
      <c r="E33" s="9" t="s">
        <v>75</v>
      </c>
      <c r="F33" s="5" t="s">
        <v>159</v>
      </c>
      <c r="G33" s="15">
        <f t="shared" si="0"/>
        <v>2</v>
      </c>
      <c r="H33" s="16">
        <f t="shared" si="1"/>
        <v>1</v>
      </c>
      <c r="I33" s="5"/>
    </row>
    <row r="34" spans="1:9" x14ac:dyDescent="0.35">
      <c r="A34" s="5" t="s">
        <v>160</v>
      </c>
      <c r="B34" s="5" t="s">
        <v>148</v>
      </c>
      <c r="C34" s="5" t="s">
        <v>161</v>
      </c>
      <c r="D34" s="14">
        <v>2</v>
      </c>
      <c r="E34" s="9" t="s">
        <v>113</v>
      </c>
      <c r="F34" s="5" t="s">
        <v>162</v>
      </c>
      <c r="G34" s="15">
        <f t="shared" si="0"/>
        <v>2</v>
      </c>
      <c r="H34" s="16">
        <f t="shared" si="1"/>
        <v>0.5</v>
      </c>
      <c r="I34" s="5"/>
    </row>
    <row r="35" spans="1:9" x14ac:dyDescent="0.35">
      <c r="A35" s="5" t="s">
        <v>163</v>
      </c>
      <c r="B35" s="5" t="s">
        <v>148</v>
      </c>
      <c r="C35" s="5" t="s">
        <v>164</v>
      </c>
      <c r="D35" s="14">
        <v>2</v>
      </c>
      <c r="E35" s="9" t="s">
        <v>113</v>
      </c>
      <c r="F35" s="5" t="s">
        <v>165</v>
      </c>
      <c r="G35" s="15">
        <f t="shared" si="0"/>
        <v>2</v>
      </c>
      <c r="H35" s="16">
        <f t="shared" si="1"/>
        <v>0.5</v>
      </c>
      <c r="I35" s="5"/>
    </row>
    <row r="36" spans="1:9" ht="25" x14ac:dyDescent="0.35">
      <c r="A36" s="5" t="s">
        <v>166</v>
      </c>
      <c r="B36" s="5" t="s">
        <v>148</v>
      </c>
      <c r="C36" s="5" t="s">
        <v>167</v>
      </c>
      <c r="D36" s="14">
        <v>1</v>
      </c>
      <c r="E36" s="9" t="s">
        <v>113</v>
      </c>
      <c r="F36" s="5" t="s">
        <v>168</v>
      </c>
      <c r="G36" s="15">
        <f t="shared" si="0"/>
        <v>1</v>
      </c>
      <c r="H36" s="16">
        <f t="shared" si="1"/>
        <v>0.5</v>
      </c>
      <c r="I36" s="5"/>
    </row>
    <row r="37" spans="1:9" x14ac:dyDescent="0.35">
      <c r="A37" s="5" t="s">
        <v>169</v>
      </c>
      <c r="B37" s="5" t="s">
        <v>148</v>
      </c>
      <c r="C37" s="5" t="s">
        <v>170</v>
      </c>
      <c r="D37" s="14">
        <v>3</v>
      </c>
      <c r="E37" s="9" t="s">
        <v>75</v>
      </c>
      <c r="F37" s="5" t="s">
        <v>171</v>
      </c>
      <c r="G37" s="15">
        <f t="shared" si="0"/>
        <v>3</v>
      </c>
      <c r="H37" s="16">
        <f t="shared" si="1"/>
        <v>1</v>
      </c>
      <c r="I37" s="5"/>
    </row>
    <row r="38" spans="1:9" x14ac:dyDescent="0.35">
      <c r="A38" s="5" t="s">
        <v>172</v>
      </c>
      <c r="B38" s="5" t="s">
        <v>148</v>
      </c>
      <c r="C38" s="5" t="s">
        <v>173</v>
      </c>
      <c r="D38" s="14">
        <v>1</v>
      </c>
      <c r="E38" s="9" t="s">
        <v>75</v>
      </c>
      <c r="F38" s="5" t="s">
        <v>174</v>
      </c>
      <c r="G38" s="15">
        <f t="shared" si="0"/>
        <v>1</v>
      </c>
      <c r="H38" s="16">
        <f t="shared" si="1"/>
        <v>1</v>
      </c>
      <c r="I38" s="5"/>
    </row>
    <row r="39" spans="1:9" x14ac:dyDescent="0.35">
      <c r="A39" s="5" t="s">
        <v>175</v>
      </c>
      <c r="B39" s="5" t="s">
        <v>176</v>
      </c>
      <c r="C39" s="5" t="s">
        <v>177</v>
      </c>
      <c r="D39" s="14">
        <v>3</v>
      </c>
      <c r="E39" s="9" t="s">
        <v>75</v>
      </c>
      <c r="F39" s="5" t="s">
        <v>178</v>
      </c>
      <c r="G39" s="15">
        <f t="shared" si="0"/>
        <v>3</v>
      </c>
      <c r="H39" s="16">
        <f t="shared" si="1"/>
        <v>1</v>
      </c>
      <c r="I39" s="5"/>
    </row>
    <row r="40" spans="1:9" x14ac:dyDescent="0.35">
      <c r="A40" s="5" t="s">
        <v>179</v>
      </c>
      <c r="B40" s="5" t="s">
        <v>176</v>
      </c>
      <c r="C40" s="5" t="s">
        <v>180</v>
      </c>
      <c r="D40" s="14">
        <v>2</v>
      </c>
      <c r="E40" s="9" t="s">
        <v>113</v>
      </c>
      <c r="F40" s="5" t="s">
        <v>181</v>
      </c>
      <c r="G40" s="15">
        <f t="shared" ref="G40:G67" si="2">D40</f>
        <v>2</v>
      </c>
      <c r="H40" s="16">
        <f t="shared" ref="H40:H67" si="3">IF(E40="clean",1,IF(E40="unknown",IF($C$4="Yes",0,0.5),0))</f>
        <v>0.5</v>
      </c>
      <c r="I40" s="5"/>
    </row>
    <row r="41" spans="1:9" x14ac:dyDescent="0.35">
      <c r="A41" s="5" t="s">
        <v>182</v>
      </c>
      <c r="B41" s="5" t="s">
        <v>176</v>
      </c>
      <c r="C41" s="5" t="s">
        <v>183</v>
      </c>
      <c r="D41" s="14">
        <v>3</v>
      </c>
      <c r="E41" s="9" t="s">
        <v>75</v>
      </c>
      <c r="F41" s="5" t="s">
        <v>184</v>
      </c>
      <c r="G41" s="15">
        <f t="shared" si="2"/>
        <v>3</v>
      </c>
      <c r="H41" s="16">
        <f t="shared" si="3"/>
        <v>1</v>
      </c>
      <c r="I41" s="5"/>
    </row>
    <row r="42" spans="1:9" x14ac:dyDescent="0.35">
      <c r="A42" s="5" t="s">
        <v>185</v>
      </c>
      <c r="B42" s="5" t="s">
        <v>176</v>
      </c>
      <c r="C42" s="5" t="s">
        <v>186</v>
      </c>
      <c r="D42" s="14">
        <v>2</v>
      </c>
      <c r="E42" s="9" t="s">
        <v>113</v>
      </c>
      <c r="F42" s="5" t="s">
        <v>187</v>
      </c>
      <c r="G42" s="15">
        <f t="shared" si="2"/>
        <v>2</v>
      </c>
      <c r="H42" s="16">
        <f t="shared" si="3"/>
        <v>0.5</v>
      </c>
      <c r="I42" s="5"/>
    </row>
    <row r="43" spans="1:9" ht="25" x14ac:dyDescent="0.35">
      <c r="A43" s="5" t="s">
        <v>188</v>
      </c>
      <c r="B43" s="5" t="s">
        <v>176</v>
      </c>
      <c r="C43" s="5" t="s">
        <v>189</v>
      </c>
      <c r="D43" s="14">
        <v>3</v>
      </c>
      <c r="E43" s="9" t="s">
        <v>85</v>
      </c>
      <c r="F43" s="5" t="s">
        <v>190</v>
      </c>
      <c r="G43" s="15">
        <f t="shared" si="2"/>
        <v>3</v>
      </c>
      <c r="H43" s="16">
        <f t="shared" si="3"/>
        <v>0</v>
      </c>
      <c r="I43" s="5" t="s">
        <v>191</v>
      </c>
    </row>
    <row r="44" spans="1:9" x14ac:dyDescent="0.35">
      <c r="A44" s="5" t="s">
        <v>192</v>
      </c>
      <c r="B44" s="5" t="s">
        <v>176</v>
      </c>
      <c r="C44" s="5" t="s">
        <v>193</v>
      </c>
      <c r="D44" s="14">
        <v>3</v>
      </c>
      <c r="E44" s="9" t="s">
        <v>75</v>
      </c>
      <c r="F44" s="5" t="s">
        <v>194</v>
      </c>
      <c r="G44" s="15">
        <f t="shared" si="2"/>
        <v>3</v>
      </c>
      <c r="H44" s="16">
        <f t="shared" si="3"/>
        <v>1</v>
      </c>
      <c r="I44" s="5"/>
    </row>
    <row r="45" spans="1:9" x14ac:dyDescent="0.35">
      <c r="A45" s="5" t="s">
        <v>195</v>
      </c>
      <c r="B45" s="5" t="s">
        <v>176</v>
      </c>
      <c r="C45" s="5" t="s">
        <v>196</v>
      </c>
      <c r="D45" s="14">
        <v>1</v>
      </c>
      <c r="E45" s="9" t="s">
        <v>75</v>
      </c>
      <c r="F45" s="5" t="s">
        <v>197</v>
      </c>
      <c r="G45" s="15">
        <f t="shared" si="2"/>
        <v>1</v>
      </c>
      <c r="H45" s="16">
        <f t="shared" si="3"/>
        <v>1</v>
      </c>
      <c r="I45" s="5"/>
    </row>
    <row r="46" spans="1:9" x14ac:dyDescent="0.35">
      <c r="A46" s="5" t="s">
        <v>198</v>
      </c>
      <c r="B46" s="5" t="s">
        <v>176</v>
      </c>
      <c r="C46" s="5" t="s">
        <v>199</v>
      </c>
      <c r="D46" s="14">
        <v>2</v>
      </c>
      <c r="E46" s="9" t="s">
        <v>113</v>
      </c>
      <c r="F46" s="5" t="s">
        <v>200</v>
      </c>
      <c r="G46" s="15">
        <f t="shared" si="2"/>
        <v>2</v>
      </c>
      <c r="H46" s="16">
        <f t="shared" si="3"/>
        <v>0.5</v>
      </c>
      <c r="I46" s="5"/>
    </row>
    <row r="47" spans="1:9" ht="25" x14ac:dyDescent="0.35">
      <c r="A47" s="5" t="s">
        <v>201</v>
      </c>
      <c r="B47" s="5" t="s">
        <v>176</v>
      </c>
      <c r="C47" s="5" t="s">
        <v>202</v>
      </c>
      <c r="D47" s="14">
        <v>1</v>
      </c>
      <c r="E47" s="9" t="s">
        <v>75</v>
      </c>
      <c r="F47" s="5" t="s">
        <v>203</v>
      </c>
      <c r="G47" s="15">
        <f t="shared" si="2"/>
        <v>1</v>
      </c>
      <c r="H47" s="16">
        <f t="shared" si="3"/>
        <v>1</v>
      </c>
      <c r="I47" s="5"/>
    </row>
    <row r="48" spans="1:9" x14ac:dyDescent="0.35">
      <c r="A48" s="5" t="s">
        <v>204</v>
      </c>
      <c r="B48" s="5" t="s">
        <v>205</v>
      </c>
      <c r="C48" s="5" t="s">
        <v>206</v>
      </c>
      <c r="D48" s="14">
        <v>3</v>
      </c>
      <c r="E48" s="9" t="s">
        <v>75</v>
      </c>
      <c r="F48" s="5" t="s">
        <v>207</v>
      </c>
      <c r="G48" s="15">
        <f t="shared" si="2"/>
        <v>3</v>
      </c>
      <c r="H48" s="16">
        <f t="shared" si="3"/>
        <v>1</v>
      </c>
      <c r="I48" s="5"/>
    </row>
    <row r="49" spans="1:9" x14ac:dyDescent="0.35">
      <c r="A49" s="5" t="s">
        <v>208</v>
      </c>
      <c r="B49" s="5" t="s">
        <v>205</v>
      </c>
      <c r="C49" s="5" t="s">
        <v>209</v>
      </c>
      <c r="D49" s="14">
        <v>3</v>
      </c>
      <c r="E49" s="9" t="s">
        <v>85</v>
      </c>
      <c r="F49" s="5" t="s">
        <v>210</v>
      </c>
      <c r="G49" s="15">
        <f t="shared" si="2"/>
        <v>3</v>
      </c>
      <c r="H49" s="16">
        <f t="shared" si="3"/>
        <v>0</v>
      </c>
      <c r="I49" s="5" t="s">
        <v>211</v>
      </c>
    </row>
    <row r="50" spans="1:9" x14ac:dyDescent="0.35">
      <c r="A50" s="5" t="s">
        <v>212</v>
      </c>
      <c r="B50" s="5" t="s">
        <v>205</v>
      </c>
      <c r="C50" s="5" t="s">
        <v>213</v>
      </c>
      <c r="D50" s="14">
        <v>2</v>
      </c>
      <c r="E50" s="9" t="s">
        <v>75</v>
      </c>
      <c r="F50" s="5" t="s">
        <v>214</v>
      </c>
      <c r="G50" s="15">
        <f t="shared" si="2"/>
        <v>2</v>
      </c>
      <c r="H50" s="16">
        <f t="shared" si="3"/>
        <v>1</v>
      </c>
      <c r="I50" s="5"/>
    </row>
    <row r="51" spans="1:9" x14ac:dyDescent="0.35">
      <c r="A51" s="5" t="s">
        <v>215</v>
      </c>
      <c r="B51" s="5" t="s">
        <v>205</v>
      </c>
      <c r="C51" s="5" t="s">
        <v>216</v>
      </c>
      <c r="D51" s="14">
        <v>1</v>
      </c>
      <c r="E51" s="9" t="s">
        <v>75</v>
      </c>
      <c r="F51" s="5" t="s">
        <v>217</v>
      </c>
      <c r="G51" s="15">
        <f t="shared" si="2"/>
        <v>1</v>
      </c>
      <c r="H51" s="16">
        <f t="shared" si="3"/>
        <v>1</v>
      </c>
      <c r="I51" s="5"/>
    </row>
    <row r="52" spans="1:9" x14ac:dyDescent="0.35">
      <c r="A52" s="5" t="s">
        <v>218</v>
      </c>
      <c r="B52" s="5" t="s">
        <v>205</v>
      </c>
      <c r="C52" s="5" t="s">
        <v>219</v>
      </c>
      <c r="D52" s="14">
        <v>1</v>
      </c>
      <c r="E52" s="9" t="s">
        <v>75</v>
      </c>
      <c r="F52" s="5" t="s">
        <v>220</v>
      </c>
      <c r="G52" s="15">
        <f t="shared" si="2"/>
        <v>1</v>
      </c>
      <c r="H52" s="16">
        <f t="shared" si="3"/>
        <v>1</v>
      </c>
      <c r="I52" s="5"/>
    </row>
    <row r="53" spans="1:9" x14ac:dyDescent="0.35">
      <c r="A53" s="5" t="s">
        <v>221</v>
      </c>
      <c r="B53" s="5" t="s">
        <v>205</v>
      </c>
      <c r="C53" s="5" t="s">
        <v>222</v>
      </c>
      <c r="D53" s="14">
        <v>2</v>
      </c>
      <c r="E53" s="9" t="s">
        <v>113</v>
      </c>
      <c r="F53" s="5" t="s">
        <v>223</v>
      </c>
      <c r="G53" s="15">
        <f t="shared" si="2"/>
        <v>2</v>
      </c>
      <c r="H53" s="16">
        <f t="shared" si="3"/>
        <v>0.5</v>
      </c>
      <c r="I53" s="5"/>
    </row>
    <row r="54" spans="1:9" ht="25" x14ac:dyDescent="0.35">
      <c r="A54" s="5" t="s">
        <v>224</v>
      </c>
      <c r="B54" s="5" t="s">
        <v>205</v>
      </c>
      <c r="C54" s="5" t="s">
        <v>225</v>
      </c>
      <c r="D54" s="14">
        <v>2</v>
      </c>
      <c r="E54" s="9" t="s">
        <v>75</v>
      </c>
      <c r="F54" s="5" t="s">
        <v>226</v>
      </c>
      <c r="G54" s="15">
        <f t="shared" si="2"/>
        <v>2</v>
      </c>
      <c r="H54" s="16">
        <f t="shared" si="3"/>
        <v>1</v>
      </c>
      <c r="I54" s="5"/>
    </row>
    <row r="55" spans="1:9" x14ac:dyDescent="0.35">
      <c r="A55" s="5" t="s">
        <v>227</v>
      </c>
      <c r="B55" s="5" t="s">
        <v>205</v>
      </c>
      <c r="C55" s="5" t="s">
        <v>228</v>
      </c>
      <c r="D55" s="14">
        <v>1</v>
      </c>
      <c r="E55" s="9" t="s">
        <v>75</v>
      </c>
      <c r="F55" s="5" t="s">
        <v>229</v>
      </c>
      <c r="G55" s="15">
        <f t="shared" si="2"/>
        <v>1</v>
      </c>
      <c r="H55" s="16">
        <f t="shared" si="3"/>
        <v>1</v>
      </c>
      <c r="I55" s="5"/>
    </row>
    <row r="56" spans="1:9" ht="25" x14ac:dyDescent="0.35">
      <c r="A56" s="5" t="s">
        <v>230</v>
      </c>
      <c r="B56" s="5" t="s">
        <v>205</v>
      </c>
      <c r="C56" s="5" t="s">
        <v>231</v>
      </c>
      <c r="D56" s="14">
        <v>2</v>
      </c>
      <c r="E56" s="9" t="s">
        <v>75</v>
      </c>
      <c r="F56" s="5" t="s">
        <v>232</v>
      </c>
      <c r="G56" s="15">
        <f t="shared" si="2"/>
        <v>2</v>
      </c>
      <c r="H56" s="16">
        <f t="shared" si="3"/>
        <v>1</v>
      </c>
      <c r="I56" s="5"/>
    </row>
    <row r="57" spans="1:9" x14ac:dyDescent="0.35">
      <c r="A57" s="5" t="s">
        <v>233</v>
      </c>
      <c r="B57" s="5" t="s">
        <v>234</v>
      </c>
      <c r="C57" s="5" t="s">
        <v>235</v>
      </c>
      <c r="D57" s="14">
        <v>3</v>
      </c>
      <c r="E57" s="9" t="s">
        <v>75</v>
      </c>
      <c r="F57" s="5" t="s">
        <v>236</v>
      </c>
      <c r="G57" s="15">
        <f t="shared" si="2"/>
        <v>3</v>
      </c>
      <c r="H57" s="16">
        <f t="shared" si="3"/>
        <v>1</v>
      </c>
      <c r="I57" s="5"/>
    </row>
    <row r="58" spans="1:9" ht="25" x14ac:dyDescent="0.35">
      <c r="A58" s="5" t="s">
        <v>237</v>
      </c>
      <c r="B58" s="5" t="s">
        <v>234</v>
      </c>
      <c r="C58" s="5" t="s">
        <v>238</v>
      </c>
      <c r="D58" s="14">
        <v>3</v>
      </c>
      <c r="E58" s="9" t="s">
        <v>75</v>
      </c>
      <c r="F58" s="5" t="s">
        <v>239</v>
      </c>
      <c r="G58" s="15">
        <f t="shared" si="2"/>
        <v>3</v>
      </c>
      <c r="H58" s="16">
        <f t="shared" si="3"/>
        <v>1</v>
      </c>
      <c r="I58" s="5"/>
    </row>
    <row r="59" spans="1:9" x14ac:dyDescent="0.35">
      <c r="A59" s="5" t="s">
        <v>240</v>
      </c>
      <c r="B59" s="5" t="s">
        <v>234</v>
      </c>
      <c r="C59" s="5" t="s">
        <v>241</v>
      </c>
      <c r="D59" s="14">
        <v>2</v>
      </c>
      <c r="E59" s="9" t="s">
        <v>75</v>
      </c>
      <c r="F59" s="5" t="s">
        <v>242</v>
      </c>
      <c r="G59" s="15">
        <f t="shared" si="2"/>
        <v>2</v>
      </c>
      <c r="H59" s="16">
        <f t="shared" si="3"/>
        <v>1</v>
      </c>
      <c r="I59" s="5"/>
    </row>
    <row r="60" spans="1:9" ht="25" x14ac:dyDescent="0.35">
      <c r="A60" s="5" t="s">
        <v>243</v>
      </c>
      <c r="B60" s="5" t="s">
        <v>234</v>
      </c>
      <c r="C60" s="5" t="s">
        <v>244</v>
      </c>
      <c r="D60" s="14">
        <v>1</v>
      </c>
      <c r="E60" s="9" t="s">
        <v>75</v>
      </c>
      <c r="F60" s="5" t="s">
        <v>245</v>
      </c>
      <c r="G60" s="15">
        <f t="shared" si="2"/>
        <v>1</v>
      </c>
      <c r="H60" s="16">
        <f t="shared" si="3"/>
        <v>1</v>
      </c>
      <c r="I60" s="5"/>
    </row>
    <row r="61" spans="1:9" ht="25" x14ac:dyDescent="0.35">
      <c r="A61" s="5" t="s">
        <v>246</v>
      </c>
      <c r="B61" s="5" t="s">
        <v>234</v>
      </c>
      <c r="C61" s="5" t="s">
        <v>247</v>
      </c>
      <c r="D61" s="14">
        <v>2</v>
      </c>
      <c r="E61" s="9" t="s">
        <v>113</v>
      </c>
      <c r="F61" s="5" t="s">
        <v>248</v>
      </c>
      <c r="G61" s="15">
        <f t="shared" si="2"/>
        <v>2</v>
      </c>
      <c r="H61" s="16">
        <f t="shared" si="3"/>
        <v>0.5</v>
      </c>
      <c r="I61" s="5"/>
    </row>
    <row r="62" spans="1:9" x14ac:dyDescent="0.35">
      <c r="A62" s="5" t="s">
        <v>249</v>
      </c>
      <c r="B62" s="5" t="s">
        <v>234</v>
      </c>
      <c r="C62" s="5" t="s">
        <v>250</v>
      </c>
      <c r="D62" s="14">
        <v>2</v>
      </c>
      <c r="E62" s="9" t="s">
        <v>75</v>
      </c>
      <c r="F62" s="5" t="s">
        <v>251</v>
      </c>
      <c r="G62" s="15">
        <f t="shared" si="2"/>
        <v>2</v>
      </c>
      <c r="H62" s="16">
        <f t="shared" si="3"/>
        <v>1</v>
      </c>
      <c r="I62" s="5"/>
    </row>
    <row r="63" spans="1:9" x14ac:dyDescent="0.35">
      <c r="A63" s="5" t="s">
        <v>252</v>
      </c>
      <c r="B63" s="5" t="s">
        <v>253</v>
      </c>
      <c r="C63" s="5" t="s">
        <v>254</v>
      </c>
      <c r="D63" s="14">
        <v>3</v>
      </c>
      <c r="E63" s="9" t="s">
        <v>75</v>
      </c>
      <c r="F63" s="5" t="s">
        <v>255</v>
      </c>
      <c r="G63" s="15">
        <f t="shared" si="2"/>
        <v>3</v>
      </c>
      <c r="H63" s="16">
        <f t="shared" si="3"/>
        <v>1</v>
      </c>
      <c r="I63" s="5"/>
    </row>
    <row r="64" spans="1:9" x14ac:dyDescent="0.35">
      <c r="A64" s="5" t="s">
        <v>256</v>
      </c>
      <c r="B64" s="5" t="s">
        <v>253</v>
      </c>
      <c r="C64" s="5" t="s">
        <v>257</v>
      </c>
      <c r="D64" s="14">
        <v>2</v>
      </c>
      <c r="E64" s="9" t="s">
        <v>75</v>
      </c>
      <c r="F64" s="5" t="s">
        <v>258</v>
      </c>
      <c r="G64" s="15">
        <f t="shared" si="2"/>
        <v>2</v>
      </c>
      <c r="H64" s="16">
        <f t="shared" si="3"/>
        <v>1</v>
      </c>
      <c r="I64" s="5"/>
    </row>
    <row r="65" spans="1:9" x14ac:dyDescent="0.35">
      <c r="A65" s="5" t="s">
        <v>259</v>
      </c>
      <c r="B65" s="5" t="s">
        <v>253</v>
      </c>
      <c r="C65" s="5" t="s">
        <v>260</v>
      </c>
      <c r="D65" s="14">
        <v>1</v>
      </c>
      <c r="E65" s="9" t="s">
        <v>75</v>
      </c>
      <c r="F65" s="5" t="s">
        <v>261</v>
      </c>
      <c r="G65" s="15">
        <f t="shared" si="2"/>
        <v>1</v>
      </c>
      <c r="H65" s="16">
        <f t="shared" si="3"/>
        <v>1</v>
      </c>
      <c r="I65" s="5"/>
    </row>
    <row r="66" spans="1:9" x14ac:dyDescent="0.35">
      <c r="A66" s="5" t="s">
        <v>262</v>
      </c>
      <c r="B66" s="5" t="s">
        <v>253</v>
      </c>
      <c r="C66" s="5" t="s">
        <v>263</v>
      </c>
      <c r="D66" s="14">
        <v>1</v>
      </c>
      <c r="E66" s="9" t="s">
        <v>75</v>
      </c>
      <c r="F66" s="5" t="s">
        <v>264</v>
      </c>
      <c r="G66" s="15">
        <f t="shared" si="2"/>
        <v>1</v>
      </c>
      <c r="H66" s="16">
        <f t="shared" si="3"/>
        <v>1</v>
      </c>
      <c r="I66" s="5"/>
    </row>
    <row r="67" spans="1:9" x14ac:dyDescent="0.35">
      <c r="A67" s="5" t="s">
        <v>265</v>
      </c>
      <c r="B67" s="5" t="s">
        <v>253</v>
      </c>
      <c r="C67" s="5" t="s">
        <v>266</v>
      </c>
      <c r="D67" s="14">
        <v>1</v>
      </c>
      <c r="E67" s="9" t="s">
        <v>75</v>
      </c>
      <c r="F67" s="5" t="s">
        <v>267</v>
      </c>
      <c r="G67" s="15">
        <f t="shared" si="2"/>
        <v>1</v>
      </c>
      <c r="H67" s="16">
        <f t="shared" si="3"/>
        <v>1</v>
      </c>
      <c r="I67" s="5"/>
    </row>
  </sheetData>
  <dataValidations count="2">
    <dataValidation type="list" sqref="C4" xr:uid="{00000000-0002-0000-0100-000000000000}">
      <formula1>"No,Yes"</formula1>
    </dataValidation>
    <dataValidation type="list" sqref="E8:E67" xr:uid="{00000000-0002-0000-0100-000001000000}">
      <formula1>"clean,gap,unknown"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workbookViewId="0"/>
  </sheetViews>
  <sheetFormatPr defaultRowHeight="14.5" x14ac:dyDescent="0.35"/>
  <cols>
    <col min="1" max="1" width="30" customWidth="1"/>
    <col min="2" max="3" width="14" customWidth="1"/>
    <col min="4" max="4" width="12" customWidth="1"/>
    <col min="5" max="5" width="18" customWidth="1"/>
    <col min="6" max="6" width="12" customWidth="1"/>
    <col min="7" max="7" width="10" customWidth="1"/>
  </cols>
  <sheetData>
    <row r="1" spans="1:7" ht="24" customHeight="1" x14ac:dyDescent="0.4">
      <c r="A1" s="1" t="s">
        <v>268</v>
      </c>
      <c r="B1" s="2"/>
      <c r="C1" s="2"/>
      <c r="D1" s="2"/>
      <c r="E1" s="2"/>
      <c r="F1" s="2"/>
      <c r="G1" s="2"/>
    </row>
    <row r="2" spans="1:7" x14ac:dyDescent="0.35">
      <c r="A2" s="3" t="s">
        <v>269</v>
      </c>
    </row>
    <row r="4" spans="1:7" ht="25" x14ac:dyDescent="0.35">
      <c r="A4" s="5" t="s">
        <v>270</v>
      </c>
      <c r="C4" s="9" t="s">
        <v>271</v>
      </c>
    </row>
    <row r="5" spans="1:7" ht="25" x14ac:dyDescent="0.35">
      <c r="A5" s="5" t="s">
        <v>272</v>
      </c>
      <c r="C5" s="17">
        <v>10</v>
      </c>
    </row>
    <row r="7" spans="1:7" x14ac:dyDescent="0.35">
      <c r="A7" s="12" t="s">
        <v>64</v>
      </c>
      <c r="B7" s="13" t="s">
        <v>273</v>
      </c>
      <c r="C7" s="13" t="s">
        <v>274</v>
      </c>
      <c r="D7" s="13" t="s">
        <v>275</v>
      </c>
      <c r="E7" s="13" t="s">
        <v>276</v>
      </c>
      <c r="F7" s="13" t="s">
        <v>277</v>
      </c>
      <c r="G7" s="13" t="s">
        <v>278</v>
      </c>
    </row>
    <row r="8" spans="1:7" x14ac:dyDescent="0.35">
      <c r="A8" s="5" t="s">
        <v>73</v>
      </c>
      <c r="B8" s="14">
        <v>34</v>
      </c>
      <c r="C8" s="14">
        <v>22</v>
      </c>
      <c r="D8" s="15">
        <f t="shared" ref="D8:D14" si="0">B8-IF($C$4="Yes",C8,0)</f>
        <v>12</v>
      </c>
      <c r="E8" s="6" t="s">
        <v>279</v>
      </c>
      <c r="F8" s="17">
        <v>1.5</v>
      </c>
      <c r="G8" s="16">
        <f t="shared" ref="G8:G14" si="1">D8*F8</f>
        <v>18</v>
      </c>
    </row>
    <row r="9" spans="1:7" x14ac:dyDescent="0.35">
      <c r="A9" s="5" t="s">
        <v>116</v>
      </c>
      <c r="B9" s="14">
        <v>40</v>
      </c>
      <c r="C9" s="14">
        <v>18</v>
      </c>
      <c r="D9" s="15">
        <f t="shared" si="0"/>
        <v>22</v>
      </c>
      <c r="E9" s="6" t="s">
        <v>280</v>
      </c>
      <c r="F9" s="17">
        <v>3</v>
      </c>
      <c r="G9" s="16">
        <f t="shared" si="1"/>
        <v>66</v>
      </c>
    </row>
    <row r="10" spans="1:7" x14ac:dyDescent="0.35">
      <c r="A10" s="5" t="s">
        <v>148</v>
      </c>
      <c r="B10" s="14">
        <v>22</v>
      </c>
      <c r="C10" s="14">
        <v>6</v>
      </c>
      <c r="D10" s="15">
        <f t="shared" si="0"/>
        <v>16</v>
      </c>
      <c r="E10" s="6" t="s">
        <v>281</v>
      </c>
      <c r="F10" s="17">
        <v>2.5</v>
      </c>
      <c r="G10" s="16">
        <f t="shared" si="1"/>
        <v>40</v>
      </c>
    </row>
    <row r="11" spans="1:7" x14ac:dyDescent="0.35">
      <c r="A11" s="5" t="s">
        <v>176</v>
      </c>
      <c r="B11" s="14">
        <v>24</v>
      </c>
      <c r="C11" s="14">
        <v>8</v>
      </c>
      <c r="D11" s="15">
        <f t="shared" si="0"/>
        <v>16</v>
      </c>
      <c r="E11" s="9" t="s">
        <v>281</v>
      </c>
      <c r="F11" s="17">
        <v>2.5</v>
      </c>
      <c r="G11" s="16">
        <f t="shared" si="1"/>
        <v>40</v>
      </c>
    </row>
    <row r="12" spans="1:7" x14ac:dyDescent="0.35">
      <c r="A12" s="5" t="s">
        <v>205</v>
      </c>
      <c r="B12" s="14">
        <v>20</v>
      </c>
      <c r="C12" s="14">
        <v>6</v>
      </c>
      <c r="D12" s="15">
        <f t="shared" si="0"/>
        <v>14</v>
      </c>
      <c r="E12" s="6" t="s">
        <v>282</v>
      </c>
      <c r="F12" s="17">
        <v>2</v>
      </c>
      <c r="G12" s="16">
        <f t="shared" si="1"/>
        <v>28</v>
      </c>
    </row>
    <row r="13" spans="1:7" x14ac:dyDescent="0.35">
      <c r="A13" s="5" t="s">
        <v>234</v>
      </c>
      <c r="B13" s="14">
        <v>26</v>
      </c>
      <c r="C13" s="14">
        <v>14</v>
      </c>
      <c r="D13" s="15">
        <f t="shared" si="0"/>
        <v>12</v>
      </c>
      <c r="E13" s="6" t="s">
        <v>283</v>
      </c>
      <c r="F13" s="17">
        <v>1.5</v>
      </c>
      <c r="G13" s="16">
        <f t="shared" si="1"/>
        <v>18</v>
      </c>
    </row>
    <row r="14" spans="1:7" x14ac:dyDescent="0.35">
      <c r="A14" s="5" t="s">
        <v>253</v>
      </c>
      <c r="B14" s="14">
        <v>14</v>
      </c>
      <c r="C14" s="14">
        <v>8</v>
      </c>
      <c r="D14" s="15">
        <f t="shared" si="0"/>
        <v>6</v>
      </c>
      <c r="E14" s="6" t="s">
        <v>284</v>
      </c>
      <c r="F14" s="17">
        <v>1</v>
      </c>
      <c r="G14" s="16">
        <f t="shared" si="1"/>
        <v>6</v>
      </c>
    </row>
    <row r="16" spans="1:7" ht="26" x14ac:dyDescent="0.35">
      <c r="A16" s="12" t="s">
        <v>276</v>
      </c>
      <c r="B16" s="13" t="s">
        <v>285</v>
      </c>
      <c r="C16" s="13" t="s">
        <v>278</v>
      </c>
      <c r="D16" s="13" t="s">
        <v>286</v>
      </c>
      <c r="E16" s="13" t="s">
        <v>287</v>
      </c>
    </row>
    <row r="17" spans="1:5" x14ac:dyDescent="0.35">
      <c r="A17" s="5" t="s">
        <v>279</v>
      </c>
      <c r="B17" s="15">
        <f t="shared" ref="B17:B22" si="2">SUMIF($E$8:$E$14,A17,$D$8:$D$14)</f>
        <v>12</v>
      </c>
      <c r="C17" s="16">
        <f t="shared" ref="C17:C22" si="3">SUMIF($E$8:$E$14,A17,$G$8:$G$14)</f>
        <v>18</v>
      </c>
      <c r="D17" s="17">
        <v>6</v>
      </c>
      <c r="E17" s="16">
        <f t="shared" ref="E17:E22" si="4">IF(D17=0,0,C17/D17)</f>
        <v>3</v>
      </c>
    </row>
    <row r="18" spans="1:5" x14ac:dyDescent="0.35">
      <c r="A18" s="5" t="s">
        <v>280</v>
      </c>
      <c r="B18" s="15">
        <f t="shared" si="2"/>
        <v>22</v>
      </c>
      <c r="C18" s="16">
        <f t="shared" si="3"/>
        <v>66</v>
      </c>
      <c r="D18" s="18">
        <v>20</v>
      </c>
      <c r="E18" s="16">
        <f t="shared" si="4"/>
        <v>3.3</v>
      </c>
    </row>
    <row r="19" spans="1:5" x14ac:dyDescent="0.35">
      <c r="A19" s="5" t="s">
        <v>281</v>
      </c>
      <c r="B19" s="15">
        <f t="shared" si="2"/>
        <v>32</v>
      </c>
      <c r="C19" s="16">
        <f t="shared" si="3"/>
        <v>80</v>
      </c>
      <c r="D19" s="18">
        <v>8</v>
      </c>
      <c r="E19" s="16">
        <f t="shared" si="4"/>
        <v>10</v>
      </c>
    </row>
    <row r="20" spans="1:5" x14ac:dyDescent="0.35">
      <c r="A20" s="5" t="s">
        <v>282</v>
      </c>
      <c r="B20" s="15">
        <f t="shared" si="2"/>
        <v>14</v>
      </c>
      <c r="C20" s="16">
        <f t="shared" si="3"/>
        <v>28</v>
      </c>
      <c r="D20" s="17">
        <v>6</v>
      </c>
      <c r="E20" s="16">
        <f t="shared" si="4"/>
        <v>4.666666666666667</v>
      </c>
    </row>
    <row r="21" spans="1:5" x14ac:dyDescent="0.35">
      <c r="A21" s="5" t="s">
        <v>283</v>
      </c>
      <c r="B21" s="15">
        <f t="shared" si="2"/>
        <v>12</v>
      </c>
      <c r="C21" s="16">
        <f t="shared" si="3"/>
        <v>18</v>
      </c>
      <c r="D21" s="17">
        <v>6</v>
      </c>
      <c r="E21" s="16">
        <f t="shared" si="4"/>
        <v>3</v>
      </c>
    </row>
    <row r="22" spans="1:5" x14ac:dyDescent="0.35">
      <c r="A22" s="5" t="s">
        <v>284</v>
      </c>
      <c r="B22" s="15">
        <f t="shared" si="2"/>
        <v>6</v>
      </c>
      <c r="C22" s="16">
        <f t="shared" si="3"/>
        <v>6</v>
      </c>
      <c r="D22" s="17">
        <v>4</v>
      </c>
      <c r="E22" s="16">
        <f t="shared" si="4"/>
        <v>1.5</v>
      </c>
    </row>
    <row r="24" spans="1:5" x14ac:dyDescent="0.35">
      <c r="A24" s="5" t="s">
        <v>288</v>
      </c>
      <c r="C24" s="15">
        <f>SUM(B8:B14)</f>
        <v>180</v>
      </c>
    </row>
    <row r="25" spans="1:5" x14ac:dyDescent="0.35">
      <c r="A25" s="5" t="s">
        <v>289</v>
      </c>
      <c r="C25" s="15">
        <f>SUM(D8:D14)</f>
        <v>98</v>
      </c>
    </row>
    <row r="26" spans="1:5" x14ac:dyDescent="0.35">
      <c r="A26" s="10" t="s">
        <v>290</v>
      </c>
      <c r="C26" s="19">
        <f>MAX(E17:E22)</f>
        <v>10</v>
      </c>
    </row>
    <row r="27" spans="1:5" x14ac:dyDescent="0.35">
      <c r="A27" s="5" t="s">
        <v>291</v>
      </c>
      <c r="C27" s="20" t="str">
        <f>INDEX(A17:A22,MATCH(C26,E17:E22,0))</f>
        <v>Tax consultant</v>
      </c>
    </row>
    <row r="28" spans="1:5" ht="25" x14ac:dyDescent="0.35">
      <c r="A28" s="5" t="s">
        <v>292</v>
      </c>
      <c r="C28" s="16">
        <f>C5-C26</f>
        <v>0</v>
      </c>
    </row>
  </sheetData>
  <dataValidations count="2">
    <dataValidation type="list" sqref="C4" xr:uid="{00000000-0002-0000-0200-000000000000}">
      <formula1>"Yes,No"</formula1>
    </dataValidation>
    <dataValidation type="list" sqref="E11" xr:uid="{00000000-0002-0000-0200-000001000000}">
      <formula1>"Tax consultant,Finance lead"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workbookViewId="0"/>
  </sheetViews>
  <sheetFormatPr defaultRowHeight="14.5" x14ac:dyDescent="0.35"/>
  <cols>
    <col min="1" max="1" width="30" customWidth="1"/>
    <col min="2" max="5" width="12" customWidth="1"/>
  </cols>
  <sheetData>
    <row r="1" spans="1:5" ht="24" customHeight="1" x14ac:dyDescent="0.4">
      <c r="A1" s="1" t="s">
        <v>293</v>
      </c>
      <c r="B1" s="2"/>
      <c r="C1" s="2"/>
      <c r="D1" s="2"/>
      <c r="E1" s="2"/>
    </row>
    <row r="2" spans="1:5" x14ac:dyDescent="0.35">
      <c r="A2" s="3" t="s">
        <v>294</v>
      </c>
    </row>
    <row r="3" spans="1:5" x14ac:dyDescent="0.35">
      <c r="A3" s="5" t="s">
        <v>295</v>
      </c>
      <c r="B3" s="14">
        <v>3</v>
      </c>
      <c r="C3" s="14">
        <v>2</v>
      </c>
      <c r="D3" s="14">
        <v>1</v>
      </c>
    </row>
    <row r="4" spans="1:5" x14ac:dyDescent="0.35">
      <c r="A4" s="12" t="s">
        <v>64</v>
      </c>
      <c r="B4" s="13" t="s">
        <v>296</v>
      </c>
      <c r="C4" s="13" t="s">
        <v>297</v>
      </c>
      <c r="D4" s="13" t="s">
        <v>298</v>
      </c>
      <c r="E4" s="13" t="s">
        <v>299</v>
      </c>
    </row>
    <row r="5" spans="1:5" x14ac:dyDescent="0.35">
      <c r="A5" s="5" t="s">
        <v>73</v>
      </c>
      <c r="B5" s="21">
        <f>IF(SUMPRODUCT(('01_Checklist'!$B$8:$B$67=$A5)*('01_Checklist'!$D$8:$D$67=B$3)*'01_Checklist'!$G$8:$G$67)=0,"",SUMPRODUCT(('01_Checklist'!$B$8:$B$67=$A5)*('01_Checklist'!$D$8:$D$67=B$3)*'01_Checklist'!$G$8:$G$67*'01_Checklist'!$H$8:$H$67)/SUMPRODUCT(('01_Checklist'!$B$8:$B$67=$A5)*('01_Checklist'!$D$8:$D$67=B$3)*'01_Checklist'!$G$8:$G$67))</f>
        <v>0.5</v>
      </c>
      <c r="C5" s="21">
        <f>IF(SUMPRODUCT(('01_Checklist'!$B$8:$B$67=$A5)*('01_Checklist'!$D$8:$D$67=C$3)*'01_Checklist'!$G$8:$G$67)=0,"",SUMPRODUCT(('01_Checklist'!$B$8:$B$67=$A5)*('01_Checklist'!$D$8:$D$67=C$3)*'01_Checklist'!$G$8:$G$67*'01_Checklist'!$H$8:$H$67)/SUMPRODUCT(('01_Checklist'!$B$8:$B$67=$A5)*('01_Checklist'!$D$8:$D$67=C$3)*'01_Checklist'!$G$8:$G$67))</f>
        <v>0.9</v>
      </c>
      <c r="D5" s="21">
        <f>IF(SUMPRODUCT(('01_Checklist'!$B$8:$B$67=$A5)*('01_Checklist'!$D$8:$D$67=D$3)*'01_Checklist'!$G$8:$G$67)=0,"",SUMPRODUCT(('01_Checklist'!$B$8:$B$67=$A5)*('01_Checklist'!$D$8:$D$67=D$3)*'01_Checklist'!$G$8:$G$67*'01_Checklist'!$H$8:$H$67)/SUMPRODUCT(('01_Checklist'!$B$8:$B$67=$A5)*('01_Checklist'!$D$8:$D$67=D$3)*'01_Checklist'!$G$8:$G$67))</f>
        <v>1</v>
      </c>
      <c r="E5" s="21">
        <f>SUMPRODUCT(('01_Checklist'!$B$8:$B$67=$A5)*'01_Checklist'!$G$8:$G$67*'01_Checklist'!$H$8:$H$67)/SUMPRODUCT(('01_Checklist'!$B$8:$B$67=$A5)*'01_Checklist'!$G$8:$G$67)</f>
        <v>0.65517241379310343</v>
      </c>
    </row>
    <row r="6" spans="1:5" x14ac:dyDescent="0.35">
      <c r="A6" s="5" t="s">
        <v>116</v>
      </c>
      <c r="B6" s="21">
        <f>IF(SUMPRODUCT(('01_Checklist'!$B$8:$B$67=$A6)*('01_Checklist'!$D$8:$D$67=B$3)*'01_Checklist'!$G$8:$G$67)=0,"",SUMPRODUCT(('01_Checklist'!$B$8:$B$67=$A6)*('01_Checklist'!$D$8:$D$67=B$3)*'01_Checklist'!$G$8:$G$67*'01_Checklist'!$H$8:$H$67)/SUMPRODUCT(('01_Checklist'!$B$8:$B$67=$A6)*('01_Checklist'!$D$8:$D$67=B$3)*'01_Checklist'!$G$8:$G$67))</f>
        <v>1</v>
      </c>
      <c r="C6" s="21">
        <f>IF(SUMPRODUCT(('01_Checklist'!$B$8:$B$67=$A6)*('01_Checklist'!$D$8:$D$67=C$3)*'01_Checklist'!$G$8:$G$67)=0,"",SUMPRODUCT(('01_Checklist'!$B$8:$B$67=$A6)*('01_Checklist'!$D$8:$D$67=C$3)*'01_Checklist'!$G$8:$G$67*'01_Checklist'!$H$8:$H$67)/SUMPRODUCT(('01_Checklist'!$B$8:$B$67=$A6)*('01_Checklist'!$D$8:$D$67=C$3)*'01_Checklist'!$G$8:$G$67))</f>
        <v>0.8125</v>
      </c>
      <c r="D6" s="21" t="str">
        <f>IF(SUMPRODUCT(('01_Checklist'!$B$8:$B$67=$A6)*('01_Checklist'!$D$8:$D$67=D$3)*'01_Checklist'!$G$8:$G$67)=0,"",SUMPRODUCT(('01_Checklist'!$B$8:$B$67=$A6)*('01_Checklist'!$D$8:$D$67=D$3)*'01_Checklist'!$G$8:$G$67*'01_Checklist'!$H$8:$H$67)/SUMPRODUCT(('01_Checklist'!$B$8:$B$67=$A6)*('01_Checklist'!$D$8:$D$67=D$3)*'01_Checklist'!$G$8:$G$67))</f>
        <v/>
      </c>
      <c r="E6" s="21">
        <f>SUMPRODUCT(('01_Checklist'!$B$8:$B$67=$A6)*'01_Checklist'!$G$8:$G$67*'01_Checklist'!$H$8:$H$67)/SUMPRODUCT(('01_Checklist'!$B$8:$B$67=$A6)*'01_Checklist'!$G$8:$G$67)</f>
        <v>0.86363636363636365</v>
      </c>
    </row>
    <row r="7" spans="1:5" x14ac:dyDescent="0.35">
      <c r="A7" s="5" t="s">
        <v>148</v>
      </c>
      <c r="B7" s="21">
        <f>IF(SUMPRODUCT(('01_Checklist'!$B$8:$B$67=$A7)*('01_Checklist'!$D$8:$D$67=B$3)*'01_Checklist'!$G$8:$G$67)=0,"",SUMPRODUCT(('01_Checklist'!$B$8:$B$67=$A7)*('01_Checklist'!$D$8:$D$67=B$3)*'01_Checklist'!$G$8:$G$67*'01_Checklist'!$H$8:$H$67)/SUMPRODUCT(('01_Checklist'!$B$8:$B$67=$A7)*('01_Checklist'!$D$8:$D$67=B$3)*'01_Checklist'!$G$8:$G$67))</f>
        <v>1</v>
      </c>
      <c r="C7" s="21">
        <f>IF(SUMPRODUCT(('01_Checklist'!$B$8:$B$67=$A7)*('01_Checklist'!$D$8:$D$67=C$3)*'01_Checklist'!$G$8:$G$67)=0,"",SUMPRODUCT(('01_Checklist'!$B$8:$B$67=$A7)*('01_Checklist'!$D$8:$D$67=C$3)*'01_Checklist'!$G$8:$G$67*'01_Checklist'!$H$8:$H$67)/SUMPRODUCT(('01_Checklist'!$B$8:$B$67=$A7)*('01_Checklist'!$D$8:$D$67=C$3)*'01_Checklist'!$G$8:$G$67))</f>
        <v>0.8</v>
      </c>
      <c r="D7" s="21">
        <f>IF(SUMPRODUCT(('01_Checklist'!$B$8:$B$67=$A7)*('01_Checklist'!$D$8:$D$67=D$3)*'01_Checklist'!$G$8:$G$67)=0,"",SUMPRODUCT(('01_Checklist'!$B$8:$B$67=$A7)*('01_Checklist'!$D$8:$D$67=D$3)*'01_Checklist'!$G$8:$G$67*'01_Checklist'!$H$8:$H$67)/SUMPRODUCT(('01_Checklist'!$B$8:$B$67=$A7)*('01_Checklist'!$D$8:$D$67=D$3)*'01_Checklist'!$G$8:$G$67))</f>
        <v>0.75</v>
      </c>
      <c r="E7" s="21">
        <f>SUMPRODUCT(('01_Checklist'!$B$8:$B$67=$A7)*'01_Checklist'!$G$8:$G$67*'01_Checklist'!$H$8:$H$67)/SUMPRODUCT(('01_Checklist'!$B$8:$B$67=$A7)*'01_Checklist'!$G$8:$G$67)</f>
        <v>0.86111111111111116</v>
      </c>
    </row>
    <row r="8" spans="1:5" x14ac:dyDescent="0.35">
      <c r="A8" s="5" t="s">
        <v>176</v>
      </c>
      <c r="B8" s="21">
        <f>IF(SUMPRODUCT(('01_Checklist'!$B$8:$B$67=$A8)*('01_Checklist'!$D$8:$D$67=B$3)*'01_Checklist'!$G$8:$G$67)=0,"",SUMPRODUCT(('01_Checklist'!$B$8:$B$67=$A8)*('01_Checklist'!$D$8:$D$67=B$3)*'01_Checklist'!$G$8:$G$67*'01_Checklist'!$H$8:$H$67)/SUMPRODUCT(('01_Checklist'!$B$8:$B$67=$A8)*('01_Checklist'!$D$8:$D$67=B$3)*'01_Checklist'!$G$8:$G$67))</f>
        <v>0.75</v>
      </c>
      <c r="C8" s="21">
        <f>IF(SUMPRODUCT(('01_Checklist'!$B$8:$B$67=$A8)*('01_Checklist'!$D$8:$D$67=C$3)*'01_Checklist'!$G$8:$G$67)=0,"",SUMPRODUCT(('01_Checklist'!$B$8:$B$67=$A8)*('01_Checklist'!$D$8:$D$67=C$3)*'01_Checklist'!$G$8:$G$67*'01_Checklist'!$H$8:$H$67)/SUMPRODUCT(('01_Checklist'!$B$8:$B$67=$A8)*('01_Checklist'!$D$8:$D$67=C$3)*'01_Checklist'!$G$8:$G$67))</f>
        <v>0.5</v>
      </c>
      <c r="D8" s="21">
        <f>IF(SUMPRODUCT(('01_Checklist'!$B$8:$B$67=$A8)*('01_Checklist'!$D$8:$D$67=D$3)*'01_Checklist'!$G$8:$G$67)=0,"",SUMPRODUCT(('01_Checklist'!$B$8:$B$67=$A8)*('01_Checklist'!$D$8:$D$67=D$3)*'01_Checklist'!$G$8:$G$67*'01_Checklist'!$H$8:$H$67)/SUMPRODUCT(('01_Checklist'!$B$8:$B$67=$A8)*('01_Checklist'!$D$8:$D$67=D$3)*'01_Checklist'!$G$8:$G$67))</f>
        <v>1</v>
      </c>
      <c r="E8" s="21">
        <f>SUMPRODUCT(('01_Checklist'!$B$8:$B$67=$A8)*'01_Checklist'!$G$8:$G$67*'01_Checklist'!$H$8:$H$67)/SUMPRODUCT(('01_Checklist'!$B$8:$B$67=$A8)*'01_Checklist'!$G$8:$G$67)</f>
        <v>0.7</v>
      </c>
    </row>
    <row r="9" spans="1:5" x14ac:dyDescent="0.35">
      <c r="A9" s="5" t="s">
        <v>205</v>
      </c>
      <c r="B9" s="21">
        <f>IF(SUMPRODUCT(('01_Checklist'!$B$8:$B$67=$A9)*('01_Checklist'!$D$8:$D$67=B$3)*'01_Checklist'!$G$8:$G$67)=0,"",SUMPRODUCT(('01_Checklist'!$B$8:$B$67=$A9)*('01_Checklist'!$D$8:$D$67=B$3)*'01_Checklist'!$G$8:$G$67*'01_Checklist'!$H$8:$H$67)/SUMPRODUCT(('01_Checklist'!$B$8:$B$67=$A9)*('01_Checklist'!$D$8:$D$67=B$3)*'01_Checklist'!$G$8:$G$67))</f>
        <v>0.5</v>
      </c>
      <c r="C9" s="21">
        <f>IF(SUMPRODUCT(('01_Checklist'!$B$8:$B$67=$A9)*('01_Checklist'!$D$8:$D$67=C$3)*'01_Checklist'!$G$8:$G$67)=0,"",SUMPRODUCT(('01_Checklist'!$B$8:$B$67=$A9)*('01_Checklist'!$D$8:$D$67=C$3)*'01_Checklist'!$G$8:$G$67*'01_Checklist'!$H$8:$H$67)/SUMPRODUCT(('01_Checklist'!$B$8:$B$67=$A9)*('01_Checklist'!$D$8:$D$67=C$3)*'01_Checklist'!$G$8:$G$67))</f>
        <v>0.875</v>
      </c>
      <c r="D9" s="21">
        <f>IF(SUMPRODUCT(('01_Checklist'!$B$8:$B$67=$A9)*('01_Checklist'!$D$8:$D$67=D$3)*'01_Checklist'!$G$8:$G$67)=0,"",SUMPRODUCT(('01_Checklist'!$B$8:$B$67=$A9)*('01_Checklist'!$D$8:$D$67=D$3)*'01_Checklist'!$G$8:$G$67*'01_Checklist'!$H$8:$H$67)/SUMPRODUCT(('01_Checklist'!$B$8:$B$67=$A9)*('01_Checklist'!$D$8:$D$67=D$3)*'01_Checklist'!$G$8:$G$67))</f>
        <v>1</v>
      </c>
      <c r="E9" s="21">
        <f>SUMPRODUCT(('01_Checklist'!$B$8:$B$67=$A9)*'01_Checklist'!$G$8:$G$67*'01_Checklist'!$H$8:$H$67)/SUMPRODUCT(('01_Checklist'!$B$8:$B$67=$A9)*'01_Checklist'!$G$8:$G$67)</f>
        <v>0.76470588235294112</v>
      </c>
    </row>
    <row r="10" spans="1:5" x14ac:dyDescent="0.35">
      <c r="A10" s="5" t="s">
        <v>234</v>
      </c>
      <c r="B10" s="21">
        <f>IF(SUMPRODUCT(('01_Checklist'!$B$8:$B$67=$A10)*('01_Checklist'!$D$8:$D$67=B$3)*'01_Checklist'!$G$8:$G$67)=0,"",SUMPRODUCT(('01_Checklist'!$B$8:$B$67=$A10)*('01_Checklist'!$D$8:$D$67=B$3)*'01_Checklist'!$G$8:$G$67*'01_Checklist'!$H$8:$H$67)/SUMPRODUCT(('01_Checklist'!$B$8:$B$67=$A10)*('01_Checklist'!$D$8:$D$67=B$3)*'01_Checklist'!$G$8:$G$67))</f>
        <v>1</v>
      </c>
      <c r="C10" s="21">
        <f>IF(SUMPRODUCT(('01_Checklist'!$B$8:$B$67=$A10)*('01_Checklist'!$D$8:$D$67=C$3)*'01_Checklist'!$G$8:$G$67)=0,"",SUMPRODUCT(('01_Checklist'!$B$8:$B$67=$A10)*('01_Checklist'!$D$8:$D$67=C$3)*'01_Checklist'!$G$8:$G$67*'01_Checklist'!$H$8:$H$67)/SUMPRODUCT(('01_Checklist'!$B$8:$B$67=$A10)*('01_Checklist'!$D$8:$D$67=C$3)*'01_Checklist'!$G$8:$G$67))</f>
        <v>0.83333333333333337</v>
      </c>
      <c r="D10" s="21">
        <f>IF(SUMPRODUCT(('01_Checklist'!$B$8:$B$67=$A10)*('01_Checklist'!$D$8:$D$67=D$3)*'01_Checklist'!$G$8:$G$67)=0,"",SUMPRODUCT(('01_Checklist'!$B$8:$B$67=$A10)*('01_Checklist'!$D$8:$D$67=D$3)*'01_Checklist'!$G$8:$G$67*'01_Checklist'!$H$8:$H$67)/SUMPRODUCT(('01_Checklist'!$B$8:$B$67=$A10)*('01_Checklist'!$D$8:$D$67=D$3)*'01_Checklist'!$G$8:$G$67))</f>
        <v>1</v>
      </c>
      <c r="E10" s="21">
        <f>SUMPRODUCT(('01_Checklist'!$B$8:$B$67=$A10)*'01_Checklist'!$G$8:$G$67*'01_Checklist'!$H$8:$H$67)/SUMPRODUCT(('01_Checklist'!$B$8:$B$67=$A10)*'01_Checklist'!$G$8:$G$67)</f>
        <v>0.92307692307692313</v>
      </c>
    </row>
    <row r="11" spans="1:5" x14ac:dyDescent="0.35">
      <c r="A11" s="5" t="s">
        <v>253</v>
      </c>
      <c r="B11" s="21">
        <f>IF(SUMPRODUCT(('01_Checklist'!$B$8:$B$67=$A11)*('01_Checklist'!$D$8:$D$67=B$3)*'01_Checklist'!$G$8:$G$67)=0,"",SUMPRODUCT(('01_Checklist'!$B$8:$B$67=$A11)*('01_Checklist'!$D$8:$D$67=B$3)*'01_Checklist'!$G$8:$G$67*'01_Checklist'!$H$8:$H$67)/SUMPRODUCT(('01_Checklist'!$B$8:$B$67=$A11)*('01_Checklist'!$D$8:$D$67=B$3)*'01_Checklist'!$G$8:$G$67))</f>
        <v>1</v>
      </c>
      <c r="C11" s="21">
        <f>IF(SUMPRODUCT(('01_Checklist'!$B$8:$B$67=$A11)*('01_Checklist'!$D$8:$D$67=C$3)*'01_Checklist'!$G$8:$G$67)=0,"",SUMPRODUCT(('01_Checklist'!$B$8:$B$67=$A11)*('01_Checklist'!$D$8:$D$67=C$3)*'01_Checklist'!$G$8:$G$67*'01_Checklist'!$H$8:$H$67)/SUMPRODUCT(('01_Checklist'!$B$8:$B$67=$A11)*('01_Checklist'!$D$8:$D$67=C$3)*'01_Checklist'!$G$8:$G$67))</f>
        <v>1</v>
      </c>
      <c r="D11" s="21">
        <f>IF(SUMPRODUCT(('01_Checklist'!$B$8:$B$67=$A11)*('01_Checklist'!$D$8:$D$67=D$3)*'01_Checklist'!$G$8:$G$67)=0,"",SUMPRODUCT(('01_Checklist'!$B$8:$B$67=$A11)*('01_Checklist'!$D$8:$D$67=D$3)*'01_Checklist'!$G$8:$G$67*'01_Checklist'!$H$8:$H$67)/SUMPRODUCT(('01_Checklist'!$B$8:$B$67=$A11)*('01_Checklist'!$D$8:$D$67=D$3)*'01_Checklist'!$G$8:$G$67))</f>
        <v>1</v>
      </c>
      <c r="E11" s="21">
        <f>SUMPRODUCT(('01_Checklist'!$B$8:$B$67=$A11)*'01_Checklist'!$G$8:$G$67*'01_Checklist'!$H$8:$H$67)/SUMPRODUCT(('01_Checklist'!$B$8:$B$67=$A11)*'01_Checklist'!$G$8:$G$67)</f>
        <v>1</v>
      </c>
    </row>
    <row r="13" spans="1:5" x14ac:dyDescent="0.35">
      <c r="A13" s="10" t="s">
        <v>300</v>
      </c>
      <c r="C13" s="22">
        <f>'01_Checklist'!C5</f>
        <v>0.79133858267716539</v>
      </c>
    </row>
    <row r="14" spans="1:5" x14ac:dyDescent="0.35">
      <c r="A14" s="5" t="s">
        <v>301</v>
      </c>
      <c r="C14" s="15">
        <f>COUNTIF('01_Checklist'!$E$8:$E$67,"gap")</f>
        <v>6</v>
      </c>
    </row>
    <row r="15" spans="1:5" x14ac:dyDescent="0.35">
      <c r="A15" s="5" t="s">
        <v>302</v>
      </c>
      <c r="C15" s="15">
        <f>COUNTIF('01_Checklist'!$E$8:$E$67,"unknown")</f>
        <v>10</v>
      </c>
    </row>
    <row r="16" spans="1:5" x14ac:dyDescent="0.35">
      <c r="A16" s="5" t="s">
        <v>303</v>
      </c>
      <c r="C16" s="15">
        <f>COUNTIF('01_Checklist'!$E$8:$E$67,"clean")</f>
        <v>44</v>
      </c>
    </row>
    <row r="17" spans="1:3" ht="25" x14ac:dyDescent="0.35">
      <c r="A17" s="5" t="s">
        <v>304</v>
      </c>
      <c r="C17" s="21">
        <f>SUMPRODUCT('01_Checklist'!$G$8:$G$67,--('01_Checklist'!$E$8:$E$67="clean"))/SUM('01_Checklist'!$G$8:$G$67)</f>
        <v>0.71653543307086609</v>
      </c>
    </row>
    <row r="18" spans="1:3" x14ac:dyDescent="0.35">
      <c r="A18" s="5" t="s">
        <v>305</v>
      </c>
      <c r="C18" s="21">
        <f>MIN(B5:D11)</f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5"/>
  <sheetViews>
    <sheetView workbookViewId="0"/>
  </sheetViews>
  <sheetFormatPr defaultRowHeight="14.5" x14ac:dyDescent="0.35"/>
  <cols>
    <col min="1" max="1" width="44" customWidth="1"/>
    <col min="2" max="2" width="38" customWidth="1"/>
    <col min="3" max="3" width="14" customWidth="1"/>
    <col min="4" max="7" width="11" customWidth="1"/>
    <col min="8" max="8" width="12" customWidth="1"/>
    <col min="9" max="9" width="13" customWidth="1"/>
    <col min="10" max="10" width="12" customWidth="1"/>
    <col min="11" max="11" width="11" customWidth="1"/>
  </cols>
  <sheetData>
    <row r="1" spans="1:11" ht="24" customHeight="1" x14ac:dyDescent="0.4">
      <c r="A1" s="1" t="s">
        <v>306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3" t="s">
        <v>307</v>
      </c>
    </row>
    <row r="4" spans="1:11" x14ac:dyDescent="0.35">
      <c r="A4" s="5" t="s">
        <v>308</v>
      </c>
      <c r="C4" s="23">
        <v>7</v>
      </c>
    </row>
    <row r="5" spans="1:11" x14ac:dyDescent="0.35">
      <c r="A5" s="5" t="s">
        <v>309</v>
      </c>
      <c r="C5" s="18">
        <v>2</v>
      </c>
    </row>
    <row r="6" spans="1:11" x14ac:dyDescent="0.35">
      <c r="A6" s="5" t="s">
        <v>310</v>
      </c>
      <c r="C6" s="18">
        <v>1.5</v>
      </c>
    </row>
    <row r="7" spans="1:11" x14ac:dyDescent="0.35">
      <c r="A7" s="5" t="s">
        <v>311</v>
      </c>
      <c r="C7" s="9" t="s">
        <v>271</v>
      </c>
    </row>
    <row r="9" spans="1:11" ht="26" x14ac:dyDescent="0.35">
      <c r="A9" s="12" t="s">
        <v>71</v>
      </c>
      <c r="B9" s="13" t="s">
        <v>312</v>
      </c>
      <c r="C9" s="13" t="s">
        <v>313</v>
      </c>
      <c r="D9" s="13" t="s">
        <v>314</v>
      </c>
      <c r="E9" s="13" t="s">
        <v>315</v>
      </c>
      <c r="F9" s="13" t="s">
        <v>316</v>
      </c>
      <c r="G9" s="13" t="s">
        <v>317</v>
      </c>
      <c r="H9" s="13" t="s">
        <v>318</v>
      </c>
      <c r="I9" s="13" t="s">
        <v>319</v>
      </c>
      <c r="J9" s="13" t="s">
        <v>320</v>
      </c>
      <c r="K9" s="13" t="s">
        <v>321</v>
      </c>
    </row>
    <row r="10" spans="1:11" x14ac:dyDescent="0.35">
      <c r="A10" s="5" t="s">
        <v>191</v>
      </c>
      <c r="B10" s="5" t="s">
        <v>322</v>
      </c>
      <c r="C10" s="24">
        <f>C54</f>
        <v>4.1735202763397263E-3</v>
      </c>
      <c r="D10" s="17">
        <v>1</v>
      </c>
      <c r="E10" s="24">
        <f t="shared" ref="E10:E15" si="0">C10*D10</f>
        <v>4.1735202763397263E-3</v>
      </c>
      <c r="F10" s="25">
        <v>0</v>
      </c>
      <c r="G10" s="14">
        <v>0</v>
      </c>
      <c r="H10" s="26" t="s">
        <v>271</v>
      </c>
      <c r="I10" s="26" t="s">
        <v>271</v>
      </c>
      <c r="J10" s="26" t="s">
        <v>61</v>
      </c>
      <c r="K10" s="27" t="str">
        <f t="shared" ref="K10:K15" si="1">IF(AND(J10="Yes",$C$7="Yes"),"Counsel",IF(AND(H10="No",I10="Yes",G10&lt;=$C$4,F10&lt;=E10*$C$6+0.000000000001),"Fix",IF(E10&gt;=$C$5/100-0.000000000001,"Disclose","Leave")))</f>
        <v>Leave</v>
      </c>
    </row>
    <row r="11" spans="1:11" x14ac:dyDescent="0.35">
      <c r="A11" s="5" t="s">
        <v>101</v>
      </c>
      <c r="B11" s="5" t="s">
        <v>323</v>
      </c>
      <c r="C11" s="24">
        <f>C50</f>
        <v>0.13199999999999998</v>
      </c>
      <c r="D11" s="17">
        <v>0.5</v>
      </c>
      <c r="E11" s="24">
        <f t="shared" si="0"/>
        <v>6.5999999999999989E-2</v>
      </c>
      <c r="F11" s="25">
        <v>0.02</v>
      </c>
      <c r="G11" s="14">
        <v>5</v>
      </c>
      <c r="H11" s="26" t="s">
        <v>61</v>
      </c>
      <c r="I11" s="26" t="s">
        <v>271</v>
      </c>
      <c r="J11" s="26" t="s">
        <v>271</v>
      </c>
      <c r="K11" s="27" t="str">
        <f t="shared" si="1"/>
        <v>Counsel</v>
      </c>
    </row>
    <row r="12" spans="1:11" x14ac:dyDescent="0.35">
      <c r="A12" s="5" t="s">
        <v>211</v>
      </c>
      <c r="B12" s="5" t="s">
        <v>324</v>
      </c>
      <c r="C12" s="24">
        <f>C46</f>
        <v>3.2832E-2</v>
      </c>
      <c r="D12" s="17">
        <v>0.9</v>
      </c>
      <c r="E12" s="24">
        <f t="shared" si="0"/>
        <v>2.95488E-2</v>
      </c>
      <c r="F12" s="24">
        <f>C12</f>
        <v>3.2832E-2</v>
      </c>
      <c r="G12" s="14">
        <v>4</v>
      </c>
      <c r="H12" s="26" t="s">
        <v>61</v>
      </c>
      <c r="I12" s="26" t="s">
        <v>271</v>
      </c>
      <c r="J12" s="26" t="s">
        <v>61</v>
      </c>
      <c r="K12" s="27" t="str">
        <f t="shared" si="1"/>
        <v>Fix</v>
      </c>
    </row>
    <row r="13" spans="1:11" x14ac:dyDescent="0.35">
      <c r="A13" s="5" t="s">
        <v>137</v>
      </c>
      <c r="B13" s="5" t="s">
        <v>325</v>
      </c>
      <c r="C13" s="24">
        <f>C55</f>
        <v>7.0000000000000007E-2</v>
      </c>
      <c r="D13" s="17">
        <v>1</v>
      </c>
      <c r="E13" s="24">
        <f t="shared" si="0"/>
        <v>7.0000000000000007E-2</v>
      </c>
      <c r="F13" s="25">
        <v>5.0000000000000001E-3</v>
      </c>
      <c r="G13" s="14">
        <v>3</v>
      </c>
      <c r="H13" s="26" t="s">
        <v>61</v>
      </c>
      <c r="I13" s="26" t="s">
        <v>271</v>
      </c>
      <c r="J13" s="26" t="s">
        <v>61</v>
      </c>
      <c r="K13" s="27" t="str">
        <f t="shared" si="1"/>
        <v>Fix</v>
      </c>
    </row>
    <row r="14" spans="1:11" x14ac:dyDescent="0.35">
      <c r="A14" s="5" t="s">
        <v>91</v>
      </c>
      <c r="B14" s="5" t="s">
        <v>326</v>
      </c>
      <c r="C14" s="25">
        <v>0</v>
      </c>
      <c r="D14" s="17">
        <v>1</v>
      </c>
      <c r="E14" s="24">
        <f t="shared" si="0"/>
        <v>0</v>
      </c>
      <c r="F14" s="25">
        <v>0</v>
      </c>
      <c r="G14" s="14">
        <v>4</v>
      </c>
      <c r="H14" s="26" t="s">
        <v>61</v>
      </c>
      <c r="I14" s="26" t="s">
        <v>271</v>
      </c>
      <c r="J14" s="26" t="s">
        <v>61</v>
      </c>
      <c r="K14" s="27" t="str">
        <f t="shared" si="1"/>
        <v>Fix</v>
      </c>
    </row>
    <row r="15" spans="1:11" x14ac:dyDescent="0.35">
      <c r="A15" s="5" t="s">
        <v>87</v>
      </c>
      <c r="B15" s="5" t="s">
        <v>327</v>
      </c>
      <c r="C15" s="24">
        <f>C33</f>
        <v>2.1999999999999999E-2</v>
      </c>
      <c r="D15" s="17">
        <v>1</v>
      </c>
      <c r="E15" s="24">
        <f t="shared" si="0"/>
        <v>2.1999999999999999E-2</v>
      </c>
      <c r="F15" s="25">
        <v>0</v>
      </c>
      <c r="G15" s="14">
        <v>16</v>
      </c>
      <c r="H15" s="26" t="s">
        <v>61</v>
      </c>
      <c r="I15" s="26" t="s">
        <v>61</v>
      </c>
      <c r="J15" s="26" t="s">
        <v>61</v>
      </c>
      <c r="K15" s="27" t="str">
        <f t="shared" si="1"/>
        <v>Disclose</v>
      </c>
    </row>
    <row r="17" spans="1:3" x14ac:dyDescent="0.35">
      <c r="A17" s="5" t="s">
        <v>328</v>
      </c>
      <c r="C17" s="15">
        <f>COUNTIF(K10:K15,"Fix")</f>
        <v>3</v>
      </c>
    </row>
    <row r="18" spans="1:3" x14ac:dyDescent="0.35">
      <c r="A18" s="5" t="s">
        <v>329</v>
      </c>
      <c r="C18" s="15">
        <f>COUNTIF(K10:K15,"Disclose")</f>
        <v>1</v>
      </c>
    </row>
    <row r="19" spans="1:3" x14ac:dyDescent="0.35">
      <c r="A19" s="5" t="s">
        <v>330</v>
      </c>
      <c r="C19" s="15">
        <f>COUNTIF(K10:K15,"Leave")</f>
        <v>1</v>
      </c>
    </row>
    <row r="20" spans="1:3" x14ac:dyDescent="0.35">
      <c r="A20" s="5" t="s">
        <v>331</v>
      </c>
      <c r="C20" s="15">
        <f>COUNTIF(K10:K15,"Counsel")</f>
        <v>1</v>
      </c>
    </row>
    <row r="21" spans="1:3" x14ac:dyDescent="0.35">
      <c r="A21" s="5" t="s">
        <v>332</v>
      </c>
      <c r="C21" s="24">
        <f>SUMIF(K10:K15,"Disclose",E10:E15)</f>
        <v>2.1999999999999999E-2</v>
      </c>
    </row>
    <row r="22" spans="1:3" x14ac:dyDescent="0.35">
      <c r="A22" s="5" t="s">
        <v>333</v>
      </c>
      <c r="C22" s="24">
        <f>SUMIF(K10:K15,"Fix",F10:F15)</f>
        <v>3.7831999999999998E-2</v>
      </c>
    </row>
    <row r="26" spans="1:3" x14ac:dyDescent="0.35">
      <c r="A26" s="4" t="s">
        <v>334</v>
      </c>
    </row>
    <row r="27" spans="1:3" x14ac:dyDescent="0.35">
      <c r="A27" s="5" t="s">
        <v>335</v>
      </c>
      <c r="C27" s="28">
        <v>45792</v>
      </c>
    </row>
    <row r="28" spans="1:3" x14ac:dyDescent="0.35">
      <c r="A28" s="5" t="s">
        <v>336</v>
      </c>
      <c r="C28" s="28">
        <v>45847</v>
      </c>
    </row>
    <row r="29" spans="1:3" x14ac:dyDescent="0.35">
      <c r="A29" s="5" t="s">
        <v>337</v>
      </c>
      <c r="C29" s="15">
        <f>C28-C27</f>
        <v>55</v>
      </c>
    </row>
    <row r="30" spans="1:3" x14ac:dyDescent="0.35">
      <c r="A30" s="5" t="s">
        <v>338</v>
      </c>
      <c r="C30" s="14">
        <v>1000</v>
      </c>
    </row>
    <row r="31" spans="1:3" x14ac:dyDescent="0.35">
      <c r="A31" s="5" t="s">
        <v>339</v>
      </c>
      <c r="C31" s="14">
        <v>2500000</v>
      </c>
    </row>
    <row r="32" spans="1:3" x14ac:dyDescent="0.35">
      <c r="A32" s="5" t="s">
        <v>340</v>
      </c>
      <c r="C32" s="14">
        <v>4</v>
      </c>
    </row>
    <row r="33" spans="1:3" x14ac:dyDescent="0.35">
      <c r="A33" s="5" t="s">
        <v>341</v>
      </c>
      <c r="C33" s="24">
        <f>MIN(C29*C30,C31)*C32/10000000</f>
        <v>2.1999999999999999E-2</v>
      </c>
    </row>
    <row r="34" spans="1:3" x14ac:dyDescent="0.35">
      <c r="A34" s="5" t="s">
        <v>342</v>
      </c>
      <c r="C34" s="14">
        <v>12</v>
      </c>
    </row>
    <row r="35" spans="1:3" x14ac:dyDescent="0.35">
      <c r="A35" s="5" t="s">
        <v>343</v>
      </c>
      <c r="C35" s="14">
        <v>9000</v>
      </c>
    </row>
    <row r="36" spans="1:3" x14ac:dyDescent="0.35">
      <c r="A36" s="5" t="s">
        <v>344</v>
      </c>
      <c r="C36" s="14">
        <v>18000</v>
      </c>
    </row>
    <row r="37" spans="1:3" x14ac:dyDescent="0.35">
      <c r="A37" s="5" t="s">
        <v>345</v>
      </c>
      <c r="C37" s="14">
        <v>15000</v>
      </c>
    </row>
    <row r="38" spans="1:3" x14ac:dyDescent="0.35">
      <c r="A38" s="5" t="s">
        <v>346</v>
      </c>
      <c r="C38" s="29">
        <v>0.25</v>
      </c>
    </row>
    <row r="39" spans="1:3" x14ac:dyDescent="0.35">
      <c r="A39" s="5" t="s">
        <v>347</v>
      </c>
      <c r="C39" s="14">
        <v>12</v>
      </c>
    </row>
    <row r="40" spans="1:3" x14ac:dyDescent="0.35">
      <c r="A40" s="5" t="s">
        <v>348</v>
      </c>
      <c r="C40" s="24">
        <f>C34*(MIN(C36,C37)-C35)*C38*C39/10000000</f>
        <v>2.1600000000000001E-2</v>
      </c>
    </row>
    <row r="41" spans="1:3" x14ac:dyDescent="0.35">
      <c r="A41" s="5" t="s">
        <v>349</v>
      </c>
      <c r="C41" s="14">
        <v>26</v>
      </c>
    </row>
    <row r="42" spans="1:3" x14ac:dyDescent="0.35">
      <c r="A42" s="5" t="s">
        <v>350</v>
      </c>
      <c r="C42" s="29">
        <v>0.12</v>
      </c>
    </row>
    <row r="43" spans="1:3" x14ac:dyDescent="0.35">
      <c r="A43" s="5" t="s">
        <v>351</v>
      </c>
      <c r="C43" s="29">
        <v>0.01</v>
      </c>
    </row>
    <row r="44" spans="1:3" x14ac:dyDescent="0.35">
      <c r="A44" s="5" t="s">
        <v>352</v>
      </c>
      <c r="C44" s="24">
        <f>C40*C42*C41/12</f>
        <v>5.6160000000000003E-3</v>
      </c>
    </row>
    <row r="45" spans="1:3" x14ac:dyDescent="0.35">
      <c r="A45" s="5" t="s">
        <v>353</v>
      </c>
      <c r="C45" s="24">
        <f>C40*C43*C41</f>
        <v>5.6160000000000003E-3</v>
      </c>
    </row>
    <row r="46" spans="1:3" x14ac:dyDescent="0.35">
      <c r="A46" s="5" t="s">
        <v>354</v>
      </c>
      <c r="C46" s="24">
        <f>C40+C44+C45</f>
        <v>3.2832E-2</v>
      </c>
    </row>
    <row r="47" spans="1:3" x14ac:dyDescent="0.35">
      <c r="A47" s="5" t="s">
        <v>355</v>
      </c>
      <c r="C47" s="25">
        <v>0.24</v>
      </c>
    </row>
    <row r="48" spans="1:3" x14ac:dyDescent="0.35">
      <c r="A48" s="5" t="s">
        <v>356</v>
      </c>
      <c r="C48" s="25">
        <v>0.192</v>
      </c>
    </row>
    <row r="49" spans="1:3" x14ac:dyDescent="0.35">
      <c r="A49" s="5" t="s">
        <v>357</v>
      </c>
      <c r="C49" s="14">
        <v>33</v>
      </c>
    </row>
    <row r="50" spans="1:3" x14ac:dyDescent="0.35">
      <c r="A50" s="5" t="s">
        <v>358</v>
      </c>
      <c r="C50" s="24">
        <f>(C47-C48)*C49/12</f>
        <v>0.13199999999999998</v>
      </c>
    </row>
    <row r="51" spans="1:3" ht="25" x14ac:dyDescent="0.35">
      <c r="A51" s="5" t="s">
        <v>359</v>
      </c>
      <c r="C51" s="25">
        <v>0.2</v>
      </c>
    </row>
    <row r="52" spans="1:3" x14ac:dyDescent="0.35">
      <c r="A52" s="5" t="s">
        <v>360</v>
      </c>
      <c r="C52" s="14">
        <v>46</v>
      </c>
    </row>
    <row r="53" spans="1:3" x14ac:dyDescent="0.35">
      <c r="A53" s="5" t="s">
        <v>361</v>
      </c>
      <c r="C53" s="29">
        <v>5.5E-2</v>
      </c>
    </row>
    <row r="54" spans="1:3" x14ac:dyDescent="0.35">
      <c r="A54" s="5" t="s">
        <v>362</v>
      </c>
      <c r="C54" s="24">
        <f>C51*((1+3*C53/12)^(C52/(365/12))-1)</f>
        <v>4.1735202763397263E-3</v>
      </c>
    </row>
    <row r="55" spans="1:3" ht="25" x14ac:dyDescent="0.35">
      <c r="A55" s="5" t="s">
        <v>363</v>
      </c>
      <c r="C55" s="25">
        <v>7.0000000000000007E-2</v>
      </c>
    </row>
  </sheetData>
  <dataValidations count="1">
    <dataValidation type="list" sqref="C7" xr:uid="{00000000-0002-0000-0400-000000000000}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/>
  </sheetViews>
  <sheetFormatPr defaultRowHeight="14.5" x14ac:dyDescent="0.35"/>
  <cols>
    <col min="1" max="1" width="6" customWidth="1"/>
    <col min="2" max="2" width="62" customWidth="1"/>
    <col min="3" max="3" width="20" customWidth="1"/>
    <col min="4" max="4" width="9" customWidth="1"/>
    <col min="5" max="5" width="14" customWidth="1"/>
    <col min="6" max="6" width="32" customWidth="1"/>
  </cols>
  <sheetData>
    <row r="1" spans="1:6" ht="24" customHeight="1" x14ac:dyDescent="0.4">
      <c r="A1" s="1" t="s">
        <v>364</v>
      </c>
      <c r="B1" s="2"/>
      <c r="C1" s="2"/>
      <c r="D1" s="2"/>
      <c r="E1" s="2"/>
      <c r="F1" s="2"/>
    </row>
    <row r="2" spans="1:6" x14ac:dyDescent="0.35">
      <c r="A2" s="3" t="s">
        <v>365</v>
      </c>
    </row>
    <row r="4" spans="1:6" x14ac:dyDescent="0.35">
      <c r="A4" s="12" t="s">
        <v>63</v>
      </c>
      <c r="B4" s="13" t="s">
        <v>366</v>
      </c>
      <c r="C4" s="13" t="s">
        <v>276</v>
      </c>
      <c r="D4" s="13" t="s">
        <v>287</v>
      </c>
      <c r="E4" s="13" t="s">
        <v>367</v>
      </c>
      <c r="F4" s="13" t="s">
        <v>368</v>
      </c>
    </row>
    <row r="5" spans="1:6" x14ac:dyDescent="0.35">
      <c r="A5" s="5" t="s">
        <v>369</v>
      </c>
      <c r="B5" s="5" t="s">
        <v>370</v>
      </c>
      <c r="C5" s="5" t="s">
        <v>280</v>
      </c>
      <c r="D5" s="14">
        <v>3</v>
      </c>
      <c r="E5" s="5" t="s">
        <v>371</v>
      </c>
      <c r="F5" s="5" t="s">
        <v>372</v>
      </c>
    </row>
    <row r="6" spans="1:6" x14ac:dyDescent="0.35">
      <c r="A6" s="5" t="s">
        <v>373</v>
      </c>
      <c r="B6" s="5" t="s">
        <v>374</v>
      </c>
      <c r="C6" s="5" t="s">
        <v>282</v>
      </c>
      <c r="D6" s="14">
        <v>1</v>
      </c>
      <c r="E6" s="5" t="s">
        <v>371</v>
      </c>
      <c r="F6" s="5" t="s">
        <v>375</v>
      </c>
    </row>
    <row r="7" spans="1:6" x14ac:dyDescent="0.35">
      <c r="A7" s="5" t="s">
        <v>376</v>
      </c>
      <c r="B7" s="5" t="s">
        <v>377</v>
      </c>
      <c r="C7" s="5" t="s">
        <v>282</v>
      </c>
      <c r="D7" s="14">
        <v>2</v>
      </c>
      <c r="E7" s="5" t="s">
        <v>373</v>
      </c>
      <c r="F7" s="5" t="s">
        <v>378</v>
      </c>
    </row>
    <row r="8" spans="1:6" x14ac:dyDescent="0.35">
      <c r="A8" s="5" t="s">
        <v>379</v>
      </c>
      <c r="B8" s="5" t="s">
        <v>380</v>
      </c>
      <c r="C8" s="5" t="s">
        <v>283</v>
      </c>
      <c r="D8" s="23">
        <v>2</v>
      </c>
      <c r="E8" s="5" t="s">
        <v>371</v>
      </c>
      <c r="F8" s="5" t="s">
        <v>381</v>
      </c>
    </row>
    <row r="9" spans="1:6" x14ac:dyDescent="0.35">
      <c r="A9" s="5" t="s">
        <v>382</v>
      </c>
      <c r="B9" s="5" t="s">
        <v>383</v>
      </c>
      <c r="C9" s="5" t="s">
        <v>279</v>
      </c>
      <c r="D9" s="14">
        <v>1</v>
      </c>
      <c r="E9" s="5" t="s">
        <v>379</v>
      </c>
      <c r="F9" s="5" t="s">
        <v>384</v>
      </c>
    </row>
    <row r="10" spans="1:6" x14ac:dyDescent="0.35">
      <c r="A10" s="5" t="s">
        <v>385</v>
      </c>
      <c r="B10" s="5" t="s">
        <v>386</v>
      </c>
      <c r="C10" s="5" t="s">
        <v>283</v>
      </c>
      <c r="D10" s="23">
        <v>2</v>
      </c>
      <c r="E10" s="5" t="s">
        <v>382</v>
      </c>
      <c r="F10" s="5" t="s">
        <v>387</v>
      </c>
    </row>
    <row r="11" spans="1:6" x14ac:dyDescent="0.35">
      <c r="A11" s="5" t="s">
        <v>388</v>
      </c>
      <c r="B11" s="5" t="s">
        <v>389</v>
      </c>
      <c r="C11" s="5" t="s">
        <v>282</v>
      </c>
      <c r="D11" s="14">
        <v>1</v>
      </c>
      <c r="E11" s="5" t="s">
        <v>390</v>
      </c>
      <c r="F11" s="5" t="s">
        <v>391</v>
      </c>
    </row>
    <row r="12" spans="1:6" x14ac:dyDescent="0.35">
      <c r="A12" s="5" t="s">
        <v>392</v>
      </c>
      <c r="B12" s="5" t="s">
        <v>393</v>
      </c>
      <c r="C12" s="5" t="s">
        <v>279</v>
      </c>
      <c r="D12" s="14">
        <v>2</v>
      </c>
      <c r="E12" s="5" t="s">
        <v>371</v>
      </c>
      <c r="F12" s="5" t="s">
        <v>394</v>
      </c>
    </row>
    <row r="13" spans="1:6" x14ac:dyDescent="0.35">
      <c r="A13" s="5" t="s">
        <v>395</v>
      </c>
      <c r="B13" s="5" t="s">
        <v>396</v>
      </c>
      <c r="C13" s="5" t="s">
        <v>279</v>
      </c>
      <c r="D13" s="14">
        <v>1</v>
      </c>
      <c r="E13" s="5" t="s">
        <v>392</v>
      </c>
      <c r="F13" s="5" t="s">
        <v>397</v>
      </c>
    </row>
    <row r="14" spans="1:6" x14ac:dyDescent="0.35">
      <c r="A14" s="5" t="s">
        <v>398</v>
      </c>
      <c r="B14" s="5" t="s">
        <v>399</v>
      </c>
      <c r="C14" s="5" t="s">
        <v>280</v>
      </c>
      <c r="D14" s="14">
        <v>1</v>
      </c>
      <c r="E14" s="5" t="s">
        <v>400</v>
      </c>
      <c r="F14" s="5" t="s">
        <v>384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"/>
  <sheetViews>
    <sheetView workbookViewId="0"/>
  </sheetViews>
  <sheetFormatPr defaultRowHeight="14.5" x14ac:dyDescent="0.35"/>
  <cols>
    <col min="1" max="1" width="6" customWidth="1"/>
    <col min="2" max="2" width="62" customWidth="1"/>
    <col min="3" max="3" width="14" customWidth="1"/>
    <col min="4" max="5" width="10" customWidth="1"/>
  </cols>
  <sheetData>
    <row r="1" spans="1:5" ht="24" customHeight="1" x14ac:dyDescent="0.4">
      <c r="A1" s="1" t="s">
        <v>401</v>
      </c>
      <c r="B1" s="2"/>
      <c r="C1" s="2"/>
      <c r="D1" s="2"/>
      <c r="E1" s="2"/>
    </row>
    <row r="2" spans="1:5" x14ac:dyDescent="0.35">
      <c r="A2" s="3" t="s">
        <v>402</v>
      </c>
    </row>
    <row r="4" spans="1:5" ht="37.5" x14ac:dyDescent="0.35">
      <c r="A4" s="5" t="s">
        <v>403</v>
      </c>
      <c r="C4" s="28">
        <v>46339</v>
      </c>
    </row>
    <row r="5" spans="1:5" ht="62.5" x14ac:dyDescent="0.35">
      <c r="A5" s="5" t="s">
        <v>404</v>
      </c>
      <c r="C5" s="28">
        <v>46391</v>
      </c>
    </row>
    <row r="6" spans="1:5" ht="150" x14ac:dyDescent="0.35">
      <c r="A6" s="5" t="s">
        <v>405</v>
      </c>
      <c r="C6" s="9" t="s">
        <v>61</v>
      </c>
    </row>
    <row r="7" spans="1:5" ht="112.5" x14ac:dyDescent="0.35">
      <c r="A7" s="5" t="s">
        <v>406</v>
      </c>
      <c r="C7" s="23">
        <v>0</v>
      </c>
    </row>
    <row r="9" spans="1:5" x14ac:dyDescent="0.35">
      <c r="A9" s="12" t="s">
        <v>63</v>
      </c>
      <c r="B9" s="13" t="s">
        <v>366</v>
      </c>
      <c r="C9" s="13" t="s">
        <v>287</v>
      </c>
      <c r="D9" s="13" t="s">
        <v>407</v>
      </c>
      <c r="E9" s="13" t="s">
        <v>408</v>
      </c>
    </row>
    <row r="10" spans="1:5" x14ac:dyDescent="0.35">
      <c r="A10" s="5" t="s">
        <v>369</v>
      </c>
      <c r="B10" s="30" t="str">
        <f>'05_Remediation'!B5</f>
        <v>Actuarial valuation of gratuity</v>
      </c>
      <c r="C10" s="31">
        <f>'05_Remediation'!D5</f>
        <v>3</v>
      </c>
      <c r="D10" s="14">
        <v>0</v>
      </c>
      <c r="E10" s="15">
        <f t="shared" ref="E10:E19" si="0">D10+C10</f>
        <v>3</v>
      </c>
    </row>
    <row r="11" spans="1:5" x14ac:dyDescent="0.35">
      <c r="A11" s="5" t="s">
        <v>373</v>
      </c>
      <c r="B11" s="30" t="str">
        <f>'05_Remediation'!B6</f>
        <v>FY25 PF shortfall computed by employee and month</v>
      </c>
      <c r="C11" s="31">
        <f>'05_Remediation'!D6</f>
        <v>1</v>
      </c>
      <c r="D11" s="14">
        <v>0</v>
      </c>
      <c r="E11" s="15">
        <f t="shared" si="0"/>
        <v>1</v>
      </c>
    </row>
    <row r="12" spans="1:5" x14ac:dyDescent="0.35">
      <c r="A12" s="5" t="s">
        <v>376</v>
      </c>
      <c r="B12" s="30" t="str">
        <f>'05_Remediation'!B7</f>
        <v>Revised PF returns filed and paid with interest</v>
      </c>
      <c r="C12" s="31">
        <f>'05_Remediation'!D7</f>
        <v>2</v>
      </c>
      <c r="D12" s="15">
        <f>E11</f>
        <v>1</v>
      </c>
      <c r="E12" s="15">
        <f t="shared" si="0"/>
        <v>3</v>
      </c>
    </row>
    <row r="13" spans="1:5" x14ac:dyDescent="0.35">
      <c r="A13" s="5" t="s">
        <v>379</v>
      </c>
      <c r="B13" s="30" t="str">
        <f>'05_Remediation'!B8</f>
        <v>Market rent study for the Hoskote warehouse</v>
      </c>
      <c r="C13" s="31">
        <f>'05_Remediation'!D8</f>
        <v>2</v>
      </c>
      <c r="D13" s="14">
        <v>0</v>
      </c>
      <c r="E13" s="15">
        <f t="shared" si="0"/>
        <v>2</v>
      </c>
    </row>
    <row r="14" spans="1:5" x14ac:dyDescent="0.35">
      <c r="A14" s="5" t="s">
        <v>382</v>
      </c>
      <c r="B14" s="30" t="str">
        <f>'05_Remediation'!B9</f>
        <v>Board meeting: lease on market terms, ESOP regrant, PAS-3 position</v>
      </c>
      <c r="C14" s="31">
        <f>'05_Remediation'!D9</f>
        <v>1</v>
      </c>
      <c r="D14" s="15">
        <f>E13</f>
        <v>2</v>
      </c>
      <c r="E14" s="15">
        <f t="shared" si="0"/>
        <v>3</v>
      </c>
    </row>
    <row r="15" spans="1:5" x14ac:dyDescent="0.35">
      <c r="A15" s="5" t="s">
        <v>385</v>
      </c>
      <c r="B15" s="30" t="str">
        <f>'05_Remediation'!B10</f>
        <v>Investor consent under the SHA</v>
      </c>
      <c r="C15" s="31">
        <f>'05_Remediation'!D10</f>
        <v>2</v>
      </c>
      <c r="D15" s="15">
        <f>IF($C$6="Yes",E13,E14)</f>
        <v>3</v>
      </c>
      <c r="E15" s="15">
        <f t="shared" si="0"/>
        <v>5</v>
      </c>
    </row>
    <row r="16" spans="1:5" x14ac:dyDescent="0.35">
      <c r="A16" s="5" t="s">
        <v>388</v>
      </c>
      <c r="B16" s="30" t="str">
        <f>'05_Remediation'!B11</f>
        <v>ESOP regrant letters issued</v>
      </c>
      <c r="C16" s="31">
        <f>'05_Remediation'!D11</f>
        <v>1</v>
      </c>
      <c r="D16" s="15">
        <f>MAX(E14,E15)</f>
        <v>5</v>
      </c>
      <c r="E16" s="15">
        <f t="shared" si="0"/>
        <v>6</v>
      </c>
    </row>
    <row r="17" spans="1:5" x14ac:dyDescent="0.35">
      <c r="A17" s="5" t="s">
        <v>392</v>
      </c>
      <c r="B17" s="30" t="str">
        <f>'05_Remediation'!B12</f>
        <v>Counsel’s note on the PAS-3 penalty</v>
      </c>
      <c r="C17" s="31">
        <f>'05_Remediation'!D12</f>
        <v>2</v>
      </c>
      <c r="D17" s="14">
        <v>0</v>
      </c>
      <c r="E17" s="15">
        <f t="shared" si="0"/>
        <v>2</v>
      </c>
    </row>
    <row r="18" spans="1:5" x14ac:dyDescent="0.35">
      <c r="A18" s="5" t="s">
        <v>395</v>
      </c>
      <c r="B18" s="30" t="str">
        <f>'05_Remediation'!B13</f>
        <v>Adjudication application filed with the Registrar</v>
      </c>
      <c r="C18" s="31">
        <f>'05_Remediation'!D13</f>
        <v>1</v>
      </c>
      <c r="D18" s="15">
        <f>E17</f>
        <v>2</v>
      </c>
      <c r="E18" s="15">
        <f t="shared" si="0"/>
        <v>3</v>
      </c>
    </row>
    <row r="19" spans="1:5" x14ac:dyDescent="0.35">
      <c r="A19" s="5" t="s">
        <v>398</v>
      </c>
      <c r="B19" s="30" t="str">
        <f>'05_Remediation'!B14</f>
        <v>Board takes the readiness report and the gratuity true-up</v>
      </c>
      <c r="C19" s="31">
        <f>'05_Remediation'!D14</f>
        <v>1</v>
      </c>
      <c r="D19" s="15">
        <f>MAX(E10,E12,E16,E18)</f>
        <v>6</v>
      </c>
      <c r="E19" s="15">
        <f t="shared" si="0"/>
        <v>7</v>
      </c>
    </row>
    <row r="21" spans="1:5" ht="39" x14ac:dyDescent="0.35">
      <c r="A21" s="10" t="s">
        <v>409</v>
      </c>
      <c r="C21" s="32">
        <f>E19</f>
        <v>7</v>
      </c>
    </row>
    <row r="22" spans="1:5" ht="25" x14ac:dyDescent="0.35">
      <c r="A22" s="5" t="s">
        <v>410</v>
      </c>
      <c r="C22" s="33">
        <f>C4+7*C7+7*C21</f>
        <v>46388</v>
      </c>
    </row>
    <row r="23" spans="1:5" ht="91" x14ac:dyDescent="0.35">
      <c r="A23" s="10" t="s">
        <v>411</v>
      </c>
      <c r="C23" s="32">
        <f>C5-C22</f>
        <v>3</v>
      </c>
    </row>
  </sheetData>
  <dataValidations count="1">
    <dataValidation type="list" sqref="C6" xr:uid="{00000000-0002-0000-0600-000000000000}">
      <formula1>"No,Yes"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2"/>
  <sheetViews>
    <sheetView workbookViewId="0"/>
  </sheetViews>
  <sheetFormatPr defaultRowHeight="14.5" x14ac:dyDescent="0.35"/>
  <cols>
    <col min="1" max="1" width="44" customWidth="1"/>
    <col min="2" max="2" width="40" customWidth="1"/>
    <col min="3" max="3" width="14" customWidth="1"/>
    <col min="4" max="4" width="20" customWidth="1"/>
    <col min="5" max="5" width="14" customWidth="1"/>
  </cols>
  <sheetData>
    <row r="1" spans="1:6" ht="24" customHeight="1" x14ac:dyDescent="0.4">
      <c r="A1" s="1" t="s">
        <v>412</v>
      </c>
      <c r="B1" s="2"/>
      <c r="C1" s="2"/>
      <c r="D1" s="2"/>
      <c r="E1" s="2"/>
      <c r="F1" s="2"/>
    </row>
    <row r="2" spans="1:6" x14ac:dyDescent="0.35">
      <c r="A2" s="3" t="s">
        <v>413</v>
      </c>
    </row>
    <row r="4" spans="1:6" x14ac:dyDescent="0.35">
      <c r="A4" s="5" t="s">
        <v>414</v>
      </c>
      <c r="C4" s="9" t="s">
        <v>271</v>
      </c>
    </row>
    <row r="5" spans="1:6" x14ac:dyDescent="0.35">
      <c r="A5" s="5" t="s">
        <v>415</v>
      </c>
      <c r="C5" s="9" t="s">
        <v>271</v>
      </c>
    </row>
    <row r="6" spans="1:6" x14ac:dyDescent="0.35">
      <c r="A6" s="5" t="s">
        <v>416</v>
      </c>
      <c r="C6" s="9" t="s">
        <v>271</v>
      </c>
    </row>
    <row r="7" spans="1:6" x14ac:dyDescent="0.35">
      <c r="A7" s="5" t="s">
        <v>417</v>
      </c>
      <c r="C7" s="9" t="s">
        <v>271</v>
      </c>
    </row>
    <row r="8" spans="1:6" x14ac:dyDescent="0.35">
      <c r="A8" s="5" t="s">
        <v>418</v>
      </c>
      <c r="C8" s="9" t="s">
        <v>271</v>
      </c>
    </row>
    <row r="10" spans="1:6" x14ac:dyDescent="0.35">
      <c r="A10" s="5" t="s">
        <v>310</v>
      </c>
      <c r="C10" s="34">
        <f>'04_Triage'!C6</f>
        <v>1.5</v>
      </c>
    </row>
    <row r="12" spans="1:6" x14ac:dyDescent="0.35">
      <c r="A12" s="12" t="s">
        <v>71</v>
      </c>
      <c r="B12" s="13" t="s">
        <v>312</v>
      </c>
      <c r="C12" s="13" t="s">
        <v>315</v>
      </c>
      <c r="D12" s="13" t="s">
        <v>419</v>
      </c>
      <c r="E12" s="13" t="s">
        <v>420</v>
      </c>
    </row>
    <row r="13" spans="1:6" x14ac:dyDescent="0.35">
      <c r="A13" s="5" t="s">
        <v>191</v>
      </c>
      <c r="B13" s="5" t="s">
        <v>322</v>
      </c>
      <c r="C13" s="35">
        <f>'04_Triage'!E10</f>
        <v>4.1735202763397263E-3</v>
      </c>
      <c r="D13" s="24">
        <f t="shared" ref="D13:D18" si="0">C13*$C$10</f>
        <v>6.2602804145095899E-3</v>
      </c>
      <c r="E13" s="24">
        <f>0</f>
        <v>0</v>
      </c>
    </row>
    <row r="14" spans="1:6" x14ac:dyDescent="0.35">
      <c r="A14" s="5" t="s">
        <v>101</v>
      </c>
      <c r="B14" s="5" t="s">
        <v>421</v>
      </c>
      <c r="C14" s="35">
        <f>'04_Triage'!E11</f>
        <v>6.5999999999999989E-2</v>
      </c>
      <c r="D14" s="24">
        <f t="shared" si="0"/>
        <v>9.8999999999999977E-2</v>
      </c>
      <c r="E14" s="24">
        <f>C14</f>
        <v>6.5999999999999989E-2</v>
      </c>
    </row>
    <row r="15" spans="1:6" x14ac:dyDescent="0.35">
      <c r="A15" s="5" t="s">
        <v>211</v>
      </c>
      <c r="B15" s="5" t="s">
        <v>324</v>
      </c>
      <c r="C15" s="35">
        <f>'04_Triage'!E12</f>
        <v>2.95488E-2</v>
      </c>
      <c r="D15" s="24">
        <f t="shared" si="0"/>
        <v>4.43232E-2</v>
      </c>
      <c r="E15" s="24">
        <f>IF($C$4="Yes",'04_Triage'!C45,C15*$C$10)</f>
        <v>5.6160000000000003E-3</v>
      </c>
    </row>
    <row r="16" spans="1:6" x14ac:dyDescent="0.35">
      <c r="A16" s="5" t="s">
        <v>137</v>
      </c>
      <c r="B16" s="5" t="s">
        <v>325</v>
      </c>
      <c r="C16" s="35">
        <f>'04_Triage'!E13</f>
        <v>7.0000000000000007E-2</v>
      </c>
      <c r="D16" s="24">
        <f t="shared" si="0"/>
        <v>0.10500000000000001</v>
      </c>
      <c r="E16" s="24">
        <f>IF($C$5="Yes",C16,C16*$C$10)</f>
        <v>7.0000000000000007E-2</v>
      </c>
    </row>
    <row r="17" spans="1:5" x14ac:dyDescent="0.35">
      <c r="A17" s="5" t="s">
        <v>91</v>
      </c>
      <c r="B17" s="5" t="s">
        <v>326</v>
      </c>
      <c r="C17" s="35">
        <f>'04_Triage'!E14</f>
        <v>0</v>
      </c>
      <c r="D17" s="24">
        <f t="shared" si="0"/>
        <v>0</v>
      </c>
      <c r="E17" s="24">
        <f>0</f>
        <v>0</v>
      </c>
    </row>
    <row r="18" spans="1:5" x14ac:dyDescent="0.35">
      <c r="A18" s="5" t="s">
        <v>87</v>
      </c>
      <c r="B18" s="5" t="s">
        <v>327</v>
      </c>
      <c r="C18" s="35">
        <f>'04_Triage'!E15</f>
        <v>2.1999999999999999E-2</v>
      </c>
      <c r="D18" s="24">
        <f t="shared" si="0"/>
        <v>3.3000000000000002E-2</v>
      </c>
      <c r="E18" s="24">
        <f>C18</f>
        <v>2.1999999999999999E-2</v>
      </c>
    </row>
    <row r="19" spans="1:5" x14ac:dyDescent="0.35">
      <c r="A19" s="10" t="s">
        <v>422</v>
      </c>
      <c r="D19" s="36">
        <f>SUM(D13:D18)</f>
        <v>0.28758348041450954</v>
      </c>
    </row>
    <row r="20" spans="1:5" x14ac:dyDescent="0.35">
      <c r="A20" s="10" t="s">
        <v>423</v>
      </c>
      <c r="E20" s="36">
        <f>SUM(E13:E18)</f>
        <v>0.16361599999999998</v>
      </c>
    </row>
    <row r="21" spans="1:5" x14ac:dyDescent="0.35">
      <c r="A21" s="10" t="s">
        <v>424</v>
      </c>
      <c r="E21" s="36">
        <f>D19-E20</f>
        <v>0.12396748041450956</v>
      </c>
    </row>
    <row r="23" spans="1:5" x14ac:dyDescent="0.35">
      <c r="A23" s="12" t="s">
        <v>425</v>
      </c>
      <c r="B23" s="13" t="s">
        <v>426</v>
      </c>
      <c r="C23" s="13" t="s">
        <v>427</v>
      </c>
    </row>
    <row r="24" spans="1:5" x14ac:dyDescent="0.35">
      <c r="A24" s="14">
        <v>1</v>
      </c>
      <c r="B24" s="20" t="str">
        <f>INDEX($B$13:$B$18,MATCH(C24,$E$13:$E$18,0))</f>
        <v>Gratuity without an actuarial valuation</v>
      </c>
      <c r="C24" s="24">
        <f>LARGE($E$13:$E$18,A24)</f>
        <v>7.0000000000000007E-2</v>
      </c>
    </row>
    <row r="25" spans="1:5" x14ac:dyDescent="0.35">
      <c r="A25" s="14">
        <v>2</v>
      </c>
      <c r="B25" s="20" t="str">
        <f>INDEX($B$13:$B$18,MATCH(C25,$E$13:$E$18,0))</f>
        <v>Hoskote lease above market</v>
      </c>
      <c r="C25" s="24">
        <f>LARGE($E$13:$E$18,A25)</f>
        <v>6.5999999999999989E-2</v>
      </c>
    </row>
    <row r="26" spans="1:5" x14ac:dyDescent="0.35">
      <c r="A26" s="14">
        <v>3</v>
      </c>
      <c r="B26" s="20" t="str">
        <f>INDEX($B$13:$B$18,MATCH(C26,$E$13:$E$18,0))</f>
        <v>PAS-3 filed late</v>
      </c>
      <c r="C26" s="24">
        <f>LARGE($E$13:$E$18,A26)</f>
        <v>2.1999999999999999E-2</v>
      </c>
    </row>
    <row r="28" spans="1:5" x14ac:dyDescent="0.35">
      <c r="A28" s="5" t="s">
        <v>300</v>
      </c>
      <c r="C28" s="37">
        <f>'01_Checklist'!C5</f>
        <v>0.79133858267716539</v>
      </c>
    </row>
    <row r="29" spans="1:5" x14ac:dyDescent="0.35">
      <c r="A29" s="10" t="s">
        <v>428</v>
      </c>
      <c r="C29" s="11">
        <f>SUMPRODUCT(B33:B92,E33:E92)/SUM(B33:B92)</f>
        <v>0.96062992125984248</v>
      </c>
    </row>
    <row r="32" spans="1:5" x14ac:dyDescent="0.35">
      <c r="A32" s="12" t="s">
        <v>63</v>
      </c>
      <c r="B32" s="13" t="s">
        <v>69</v>
      </c>
      <c r="C32" s="13" t="s">
        <v>429</v>
      </c>
      <c r="D32" s="13" t="s">
        <v>430</v>
      </c>
      <c r="E32" s="13" t="s">
        <v>70</v>
      </c>
    </row>
    <row r="33" spans="1:5" x14ac:dyDescent="0.35">
      <c r="A33" s="30" t="str">
        <f>'01_Checklist'!A8</f>
        <v>R-01</v>
      </c>
      <c r="B33" s="31">
        <f>'01_Checklist'!G8</f>
        <v>3</v>
      </c>
      <c r="C33" s="38" t="str">
        <f>'01_Checklist'!E8</f>
        <v>clean</v>
      </c>
      <c r="D33" s="20" t="str">
        <f t="shared" ref="D33:D64" si="1">IF(OR(OR(AND(A33="R-42",$C$4="Yes"),AND(A33="R-19",$C$5="Yes"),AND(A33="R-05",$C$6="Yes"),AND(A33="R-08",$C$7="Yes"),A33="R-36"),AND(C33="unknown",$C$8="Yes",A33&lt;&gt;"R-28",A33&lt;&gt;"R-35")),"clean",C33)</f>
        <v>clean</v>
      </c>
      <c r="E33" s="16">
        <f t="shared" ref="E33:E64" si="2">IF(D33="clean",1,IF(D33="unknown",0.5,0))</f>
        <v>1</v>
      </c>
    </row>
    <row r="34" spans="1:5" x14ac:dyDescent="0.35">
      <c r="A34" s="30" t="str">
        <f>'01_Checklist'!A9</f>
        <v>R-02</v>
      </c>
      <c r="B34" s="31">
        <f>'01_Checklist'!G9</f>
        <v>3</v>
      </c>
      <c r="C34" s="38" t="str">
        <f>'01_Checklist'!E9</f>
        <v>clean</v>
      </c>
      <c r="D34" s="20" t="str">
        <f t="shared" si="1"/>
        <v>clean</v>
      </c>
      <c r="E34" s="16">
        <f t="shared" si="2"/>
        <v>1</v>
      </c>
    </row>
    <row r="35" spans="1:5" x14ac:dyDescent="0.35">
      <c r="A35" s="30" t="str">
        <f>'01_Checklist'!A10</f>
        <v>R-03</v>
      </c>
      <c r="B35" s="31">
        <f>'01_Checklist'!G10</f>
        <v>3</v>
      </c>
      <c r="C35" s="38" t="str">
        <f>'01_Checklist'!E10</f>
        <v>clean</v>
      </c>
      <c r="D35" s="20" t="str">
        <f t="shared" si="1"/>
        <v>clean</v>
      </c>
      <c r="E35" s="16">
        <f t="shared" si="2"/>
        <v>1</v>
      </c>
    </row>
    <row r="36" spans="1:5" x14ac:dyDescent="0.35">
      <c r="A36" s="30" t="str">
        <f>'01_Checklist'!A11</f>
        <v>R-04</v>
      </c>
      <c r="B36" s="31">
        <f>'01_Checklist'!G11</f>
        <v>3</v>
      </c>
      <c r="C36" s="38" t="str">
        <f>'01_Checklist'!E11</f>
        <v>gap</v>
      </c>
      <c r="D36" s="20" t="str">
        <f t="shared" si="1"/>
        <v>gap</v>
      </c>
      <c r="E36" s="16">
        <f t="shared" si="2"/>
        <v>0</v>
      </c>
    </row>
    <row r="37" spans="1:5" x14ac:dyDescent="0.35">
      <c r="A37" s="30" t="str">
        <f>'01_Checklist'!A12</f>
        <v>R-05</v>
      </c>
      <c r="B37" s="31">
        <f>'01_Checklist'!G12</f>
        <v>3</v>
      </c>
      <c r="C37" s="38" t="str">
        <f>'01_Checklist'!E12</f>
        <v>gap</v>
      </c>
      <c r="D37" s="20" t="str">
        <f t="shared" si="1"/>
        <v>clean</v>
      </c>
      <c r="E37" s="16">
        <f t="shared" si="2"/>
        <v>1</v>
      </c>
    </row>
    <row r="38" spans="1:5" x14ac:dyDescent="0.35">
      <c r="A38" s="30" t="str">
        <f>'01_Checklist'!A13</f>
        <v>R-06</v>
      </c>
      <c r="B38" s="31">
        <f>'01_Checklist'!G13</f>
        <v>2</v>
      </c>
      <c r="C38" s="38" t="str">
        <f>'01_Checklist'!E13</f>
        <v>clean</v>
      </c>
      <c r="D38" s="20" t="str">
        <f t="shared" si="1"/>
        <v>clean</v>
      </c>
      <c r="E38" s="16">
        <f t="shared" si="2"/>
        <v>1</v>
      </c>
    </row>
    <row r="39" spans="1:5" x14ac:dyDescent="0.35">
      <c r="A39" s="30" t="str">
        <f>'01_Checklist'!A14</f>
        <v>R-07</v>
      </c>
      <c r="B39" s="31">
        <f>'01_Checklist'!G14</f>
        <v>2</v>
      </c>
      <c r="C39" s="38" t="str">
        <f>'01_Checklist'!E14</f>
        <v>clean</v>
      </c>
      <c r="D39" s="20" t="str">
        <f t="shared" si="1"/>
        <v>clean</v>
      </c>
      <c r="E39" s="16">
        <f t="shared" si="2"/>
        <v>1</v>
      </c>
    </row>
    <row r="40" spans="1:5" x14ac:dyDescent="0.35">
      <c r="A40" s="30" t="str">
        <f>'01_Checklist'!A15</f>
        <v>R-08</v>
      </c>
      <c r="B40" s="31">
        <f>'01_Checklist'!G15</f>
        <v>3</v>
      </c>
      <c r="C40" s="38" t="str">
        <f>'01_Checklist'!E15</f>
        <v>gap</v>
      </c>
      <c r="D40" s="20" t="str">
        <f t="shared" si="1"/>
        <v>clean</v>
      </c>
      <c r="E40" s="16">
        <f t="shared" si="2"/>
        <v>1</v>
      </c>
    </row>
    <row r="41" spans="1:5" x14ac:dyDescent="0.35">
      <c r="A41" s="30" t="str">
        <f>'01_Checklist'!A16</f>
        <v>R-09</v>
      </c>
      <c r="B41" s="31">
        <f>'01_Checklist'!G16</f>
        <v>2</v>
      </c>
      <c r="C41" s="38" t="str">
        <f>'01_Checklist'!E16</f>
        <v>clean</v>
      </c>
      <c r="D41" s="20" t="str">
        <f t="shared" si="1"/>
        <v>clean</v>
      </c>
      <c r="E41" s="16">
        <f t="shared" si="2"/>
        <v>1</v>
      </c>
    </row>
    <row r="42" spans="1:5" x14ac:dyDescent="0.35">
      <c r="A42" s="30" t="str">
        <f>'01_Checklist'!A17</f>
        <v>R-10</v>
      </c>
      <c r="B42" s="31">
        <f>'01_Checklist'!G17</f>
        <v>2</v>
      </c>
      <c r="C42" s="38" t="str">
        <f>'01_Checklist'!E17</f>
        <v>clean</v>
      </c>
      <c r="D42" s="20" t="str">
        <f t="shared" si="1"/>
        <v>clean</v>
      </c>
      <c r="E42" s="16">
        <f t="shared" si="2"/>
        <v>1</v>
      </c>
    </row>
    <row r="43" spans="1:5" x14ac:dyDescent="0.35">
      <c r="A43" s="30" t="str">
        <f>'01_Checklist'!A18</f>
        <v>R-11</v>
      </c>
      <c r="B43" s="31">
        <f>'01_Checklist'!G18</f>
        <v>1</v>
      </c>
      <c r="C43" s="38" t="str">
        <f>'01_Checklist'!E18</f>
        <v>clean</v>
      </c>
      <c r="D43" s="20" t="str">
        <f t="shared" si="1"/>
        <v>clean</v>
      </c>
      <c r="E43" s="16">
        <f t="shared" si="2"/>
        <v>1</v>
      </c>
    </row>
    <row r="44" spans="1:5" x14ac:dyDescent="0.35">
      <c r="A44" s="30" t="str">
        <f>'01_Checklist'!A19</f>
        <v>R-12</v>
      </c>
      <c r="B44" s="31">
        <f>'01_Checklist'!G19</f>
        <v>2</v>
      </c>
      <c r="C44" s="38" t="str">
        <f>'01_Checklist'!E19</f>
        <v>unknown</v>
      </c>
      <c r="D44" s="20" t="str">
        <f t="shared" si="1"/>
        <v>clean</v>
      </c>
      <c r="E44" s="16">
        <f t="shared" si="2"/>
        <v>1</v>
      </c>
    </row>
    <row r="45" spans="1:5" x14ac:dyDescent="0.35">
      <c r="A45" s="30" t="str">
        <f>'01_Checklist'!A20</f>
        <v>R-13</v>
      </c>
      <c r="B45" s="31">
        <f>'01_Checklist'!G20</f>
        <v>3</v>
      </c>
      <c r="C45" s="38" t="str">
        <f>'01_Checklist'!E20</f>
        <v>clean</v>
      </c>
      <c r="D45" s="20" t="str">
        <f t="shared" si="1"/>
        <v>clean</v>
      </c>
      <c r="E45" s="16">
        <f t="shared" si="2"/>
        <v>1</v>
      </c>
    </row>
    <row r="46" spans="1:5" x14ac:dyDescent="0.35">
      <c r="A46" s="30" t="str">
        <f>'01_Checklist'!A21</f>
        <v>R-14</v>
      </c>
      <c r="B46" s="31">
        <f>'01_Checklist'!G21</f>
        <v>2</v>
      </c>
      <c r="C46" s="38" t="str">
        <f>'01_Checklist'!E21</f>
        <v>clean</v>
      </c>
      <c r="D46" s="20" t="str">
        <f t="shared" si="1"/>
        <v>clean</v>
      </c>
      <c r="E46" s="16">
        <f t="shared" si="2"/>
        <v>1</v>
      </c>
    </row>
    <row r="47" spans="1:5" x14ac:dyDescent="0.35">
      <c r="A47" s="30" t="str">
        <f>'01_Checklist'!A22</f>
        <v>R-15</v>
      </c>
      <c r="B47" s="31">
        <f>'01_Checklist'!G22</f>
        <v>2</v>
      </c>
      <c r="C47" s="38" t="str">
        <f>'01_Checklist'!E22</f>
        <v>clean</v>
      </c>
      <c r="D47" s="20" t="str">
        <f t="shared" si="1"/>
        <v>clean</v>
      </c>
      <c r="E47" s="16">
        <f t="shared" si="2"/>
        <v>1</v>
      </c>
    </row>
    <row r="48" spans="1:5" x14ac:dyDescent="0.35">
      <c r="A48" s="30" t="str">
        <f>'01_Checklist'!A23</f>
        <v>R-16</v>
      </c>
      <c r="B48" s="31">
        <f>'01_Checklist'!G23</f>
        <v>2</v>
      </c>
      <c r="C48" s="38" t="str">
        <f>'01_Checklist'!E23</f>
        <v>clean</v>
      </c>
      <c r="D48" s="20" t="str">
        <f t="shared" si="1"/>
        <v>clean</v>
      </c>
      <c r="E48" s="16">
        <f t="shared" si="2"/>
        <v>1</v>
      </c>
    </row>
    <row r="49" spans="1:5" x14ac:dyDescent="0.35">
      <c r="A49" s="30" t="str">
        <f>'01_Checklist'!A24</f>
        <v>R-17</v>
      </c>
      <c r="B49" s="31">
        <f>'01_Checklist'!G24</f>
        <v>3</v>
      </c>
      <c r="C49" s="38" t="str">
        <f>'01_Checklist'!E24</f>
        <v>clean</v>
      </c>
      <c r="D49" s="20" t="str">
        <f t="shared" si="1"/>
        <v>clean</v>
      </c>
      <c r="E49" s="16">
        <f t="shared" si="2"/>
        <v>1</v>
      </c>
    </row>
    <row r="50" spans="1:5" x14ac:dyDescent="0.35">
      <c r="A50" s="30" t="str">
        <f>'01_Checklist'!A25</f>
        <v>R-18</v>
      </c>
      <c r="B50" s="31">
        <f>'01_Checklist'!G25</f>
        <v>2</v>
      </c>
      <c r="C50" s="38" t="str">
        <f>'01_Checklist'!E25</f>
        <v>clean</v>
      </c>
      <c r="D50" s="20" t="str">
        <f t="shared" si="1"/>
        <v>clean</v>
      </c>
      <c r="E50" s="16">
        <f t="shared" si="2"/>
        <v>1</v>
      </c>
    </row>
    <row r="51" spans="1:5" x14ac:dyDescent="0.35">
      <c r="A51" s="30" t="str">
        <f>'01_Checklist'!A26</f>
        <v>R-19</v>
      </c>
      <c r="B51" s="31">
        <f>'01_Checklist'!G26</f>
        <v>2</v>
      </c>
      <c r="C51" s="38" t="str">
        <f>'01_Checklist'!E26</f>
        <v>gap</v>
      </c>
      <c r="D51" s="20" t="str">
        <f t="shared" si="1"/>
        <v>clean</v>
      </c>
      <c r="E51" s="16">
        <f t="shared" si="2"/>
        <v>1</v>
      </c>
    </row>
    <row r="52" spans="1:5" x14ac:dyDescent="0.35">
      <c r="A52" s="30" t="str">
        <f>'01_Checklist'!A27</f>
        <v>R-20</v>
      </c>
      <c r="B52" s="31">
        <f>'01_Checklist'!G27</f>
        <v>2</v>
      </c>
      <c r="C52" s="38" t="str">
        <f>'01_Checklist'!E27</f>
        <v>unknown</v>
      </c>
      <c r="D52" s="20" t="str">
        <f t="shared" si="1"/>
        <v>clean</v>
      </c>
      <c r="E52" s="16">
        <f t="shared" si="2"/>
        <v>1</v>
      </c>
    </row>
    <row r="53" spans="1:5" x14ac:dyDescent="0.35">
      <c r="A53" s="30" t="str">
        <f>'01_Checklist'!A28</f>
        <v>R-21</v>
      </c>
      <c r="B53" s="31">
        <f>'01_Checklist'!G28</f>
        <v>2</v>
      </c>
      <c r="C53" s="38" t="str">
        <f>'01_Checklist'!E28</f>
        <v>clean</v>
      </c>
      <c r="D53" s="20" t="str">
        <f t="shared" si="1"/>
        <v>clean</v>
      </c>
      <c r="E53" s="16">
        <f t="shared" si="2"/>
        <v>1</v>
      </c>
    </row>
    <row r="54" spans="1:5" x14ac:dyDescent="0.35">
      <c r="A54" s="30" t="str">
        <f>'01_Checklist'!A29</f>
        <v>R-22</v>
      </c>
      <c r="B54" s="31">
        <f>'01_Checklist'!G29</f>
        <v>2</v>
      </c>
      <c r="C54" s="38" t="str">
        <f>'01_Checklist'!E29</f>
        <v>clean</v>
      </c>
      <c r="D54" s="20" t="str">
        <f t="shared" si="1"/>
        <v>clean</v>
      </c>
      <c r="E54" s="16">
        <f t="shared" si="2"/>
        <v>1</v>
      </c>
    </row>
    <row r="55" spans="1:5" x14ac:dyDescent="0.35">
      <c r="A55" s="30" t="str">
        <f>'01_Checklist'!A30</f>
        <v>R-23</v>
      </c>
      <c r="B55" s="31">
        <f>'01_Checklist'!G30</f>
        <v>2</v>
      </c>
      <c r="C55" s="38" t="str">
        <f>'01_Checklist'!E30</f>
        <v>clean</v>
      </c>
      <c r="D55" s="20" t="str">
        <f t="shared" si="1"/>
        <v>clean</v>
      </c>
      <c r="E55" s="16">
        <f t="shared" si="2"/>
        <v>1</v>
      </c>
    </row>
    <row r="56" spans="1:5" x14ac:dyDescent="0.35">
      <c r="A56" s="30" t="str">
        <f>'01_Checklist'!A31</f>
        <v>R-24</v>
      </c>
      <c r="B56" s="31">
        <f>'01_Checklist'!G31</f>
        <v>3</v>
      </c>
      <c r="C56" s="38" t="str">
        <f>'01_Checklist'!E31</f>
        <v>clean</v>
      </c>
      <c r="D56" s="20" t="str">
        <f t="shared" si="1"/>
        <v>clean</v>
      </c>
      <c r="E56" s="16">
        <f t="shared" si="2"/>
        <v>1</v>
      </c>
    </row>
    <row r="57" spans="1:5" x14ac:dyDescent="0.35">
      <c r="A57" s="30" t="str">
        <f>'01_Checklist'!A32</f>
        <v>R-25</v>
      </c>
      <c r="B57" s="31">
        <f>'01_Checklist'!G32</f>
        <v>2</v>
      </c>
      <c r="C57" s="38" t="str">
        <f>'01_Checklist'!E32</f>
        <v>clean</v>
      </c>
      <c r="D57" s="20" t="str">
        <f t="shared" si="1"/>
        <v>clean</v>
      </c>
      <c r="E57" s="16">
        <f t="shared" si="2"/>
        <v>1</v>
      </c>
    </row>
    <row r="58" spans="1:5" x14ac:dyDescent="0.35">
      <c r="A58" s="30" t="str">
        <f>'01_Checklist'!A33</f>
        <v>R-26</v>
      </c>
      <c r="B58" s="31">
        <f>'01_Checklist'!G33</f>
        <v>2</v>
      </c>
      <c r="C58" s="38" t="str">
        <f>'01_Checklist'!E33</f>
        <v>clean</v>
      </c>
      <c r="D58" s="20" t="str">
        <f t="shared" si="1"/>
        <v>clean</v>
      </c>
      <c r="E58" s="16">
        <f t="shared" si="2"/>
        <v>1</v>
      </c>
    </row>
    <row r="59" spans="1:5" x14ac:dyDescent="0.35">
      <c r="A59" s="30" t="str">
        <f>'01_Checklist'!A34</f>
        <v>R-27</v>
      </c>
      <c r="B59" s="31">
        <f>'01_Checklist'!G34</f>
        <v>2</v>
      </c>
      <c r="C59" s="38" t="str">
        <f>'01_Checklist'!E34</f>
        <v>unknown</v>
      </c>
      <c r="D59" s="20" t="str">
        <f t="shared" si="1"/>
        <v>clean</v>
      </c>
      <c r="E59" s="16">
        <f t="shared" si="2"/>
        <v>1</v>
      </c>
    </row>
    <row r="60" spans="1:5" x14ac:dyDescent="0.35">
      <c r="A60" s="30" t="str">
        <f>'01_Checklist'!A35</f>
        <v>R-28</v>
      </c>
      <c r="B60" s="31">
        <f>'01_Checklist'!G35</f>
        <v>2</v>
      </c>
      <c r="C60" s="38" t="str">
        <f>'01_Checklist'!E35</f>
        <v>unknown</v>
      </c>
      <c r="D60" s="20" t="str">
        <f t="shared" si="1"/>
        <v>unknown</v>
      </c>
      <c r="E60" s="16">
        <f t="shared" si="2"/>
        <v>0.5</v>
      </c>
    </row>
    <row r="61" spans="1:5" x14ac:dyDescent="0.35">
      <c r="A61" s="30" t="str">
        <f>'01_Checklist'!A36</f>
        <v>R-29</v>
      </c>
      <c r="B61" s="31">
        <f>'01_Checklist'!G36</f>
        <v>1</v>
      </c>
      <c r="C61" s="38" t="str">
        <f>'01_Checklist'!E36</f>
        <v>unknown</v>
      </c>
      <c r="D61" s="20" t="str">
        <f t="shared" si="1"/>
        <v>clean</v>
      </c>
      <c r="E61" s="16">
        <f t="shared" si="2"/>
        <v>1</v>
      </c>
    </row>
    <row r="62" spans="1:5" x14ac:dyDescent="0.35">
      <c r="A62" s="30" t="str">
        <f>'01_Checklist'!A37</f>
        <v>R-30</v>
      </c>
      <c r="B62" s="31">
        <f>'01_Checklist'!G37</f>
        <v>3</v>
      </c>
      <c r="C62" s="38" t="str">
        <f>'01_Checklist'!E37</f>
        <v>clean</v>
      </c>
      <c r="D62" s="20" t="str">
        <f t="shared" si="1"/>
        <v>clean</v>
      </c>
      <c r="E62" s="16">
        <f t="shared" si="2"/>
        <v>1</v>
      </c>
    </row>
    <row r="63" spans="1:5" x14ac:dyDescent="0.35">
      <c r="A63" s="30" t="str">
        <f>'01_Checklist'!A38</f>
        <v>R-31</v>
      </c>
      <c r="B63" s="31">
        <f>'01_Checklist'!G38</f>
        <v>1</v>
      </c>
      <c r="C63" s="38" t="str">
        <f>'01_Checklist'!E38</f>
        <v>clean</v>
      </c>
      <c r="D63" s="20" t="str">
        <f t="shared" si="1"/>
        <v>clean</v>
      </c>
      <c r="E63" s="16">
        <f t="shared" si="2"/>
        <v>1</v>
      </c>
    </row>
    <row r="64" spans="1:5" x14ac:dyDescent="0.35">
      <c r="A64" s="30" t="str">
        <f>'01_Checklist'!A39</f>
        <v>R-32</v>
      </c>
      <c r="B64" s="31">
        <f>'01_Checklist'!G39</f>
        <v>3</v>
      </c>
      <c r="C64" s="38" t="str">
        <f>'01_Checklist'!E39</f>
        <v>clean</v>
      </c>
      <c r="D64" s="20" t="str">
        <f t="shared" si="1"/>
        <v>clean</v>
      </c>
      <c r="E64" s="16">
        <f t="shared" si="2"/>
        <v>1</v>
      </c>
    </row>
    <row r="65" spans="1:5" x14ac:dyDescent="0.35">
      <c r="A65" s="30" t="str">
        <f>'01_Checklist'!A40</f>
        <v>R-33</v>
      </c>
      <c r="B65" s="31">
        <f>'01_Checklist'!G40</f>
        <v>2</v>
      </c>
      <c r="C65" s="38" t="str">
        <f>'01_Checklist'!E40</f>
        <v>unknown</v>
      </c>
      <c r="D65" s="20" t="str">
        <f t="shared" ref="D65:D96" si="3">IF(OR(OR(AND(A65="R-42",$C$4="Yes"),AND(A65="R-19",$C$5="Yes"),AND(A65="R-05",$C$6="Yes"),AND(A65="R-08",$C$7="Yes"),A65="R-36"),AND(C65="unknown",$C$8="Yes",A65&lt;&gt;"R-28",A65&lt;&gt;"R-35")),"clean",C65)</f>
        <v>clean</v>
      </c>
      <c r="E65" s="16">
        <f t="shared" ref="E65:E96" si="4">IF(D65="clean",1,IF(D65="unknown",0.5,0))</f>
        <v>1</v>
      </c>
    </row>
    <row r="66" spans="1:5" x14ac:dyDescent="0.35">
      <c r="A66" s="30" t="str">
        <f>'01_Checklist'!A41</f>
        <v>R-34</v>
      </c>
      <c r="B66" s="31">
        <f>'01_Checklist'!G41</f>
        <v>3</v>
      </c>
      <c r="C66" s="38" t="str">
        <f>'01_Checklist'!E41</f>
        <v>clean</v>
      </c>
      <c r="D66" s="20" t="str">
        <f t="shared" si="3"/>
        <v>clean</v>
      </c>
      <c r="E66" s="16">
        <f t="shared" si="4"/>
        <v>1</v>
      </c>
    </row>
    <row r="67" spans="1:5" x14ac:dyDescent="0.35">
      <c r="A67" s="30" t="str">
        <f>'01_Checklist'!A42</f>
        <v>R-35</v>
      </c>
      <c r="B67" s="31">
        <f>'01_Checklist'!G42</f>
        <v>2</v>
      </c>
      <c r="C67" s="38" t="str">
        <f>'01_Checklist'!E42</f>
        <v>unknown</v>
      </c>
      <c r="D67" s="20" t="str">
        <f t="shared" si="3"/>
        <v>unknown</v>
      </c>
      <c r="E67" s="16">
        <f t="shared" si="4"/>
        <v>0.5</v>
      </c>
    </row>
    <row r="68" spans="1:5" x14ac:dyDescent="0.35">
      <c r="A68" s="30" t="str">
        <f>'01_Checklist'!A43</f>
        <v>R-36</v>
      </c>
      <c r="B68" s="31">
        <f>'01_Checklist'!G43</f>
        <v>3</v>
      </c>
      <c r="C68" s="38" t="str">
        <f>'01_Checklist'!E43</f>
        <v>gap</v>
      </c>
      <c r="D68" s="20" t="str">
        <f t="shared" si="3"/>
        <v>clean</v>
      </c>
      <c r="E68" s="16">
        <f t="shared" si="4"/>
        <v>1</v>
      </c>
    </row>
    <row r="69" spans="1:5" x14ac:dyDescent="0.35">
      <c r="A69" s="30" t="str">
        <f>'01_Checklist'!A44</f>
        <v>R-37</v>
      </c>
      <c r="B69" s="31">
        <f>'01_Checklist'!G44</f>
        <v>3</v>
      </c>
      <c r="C69" s="38" t="str">
        <f>'01_Checklist'!E44</f>
        <v>clean</v>
      </c>
      <c r="D69" s="20" t="str">
        <f t="shared" si="3"/>
        <v>clean</v>
      </c>
      <c r="E69" s="16">
        <f t="shared" si="4"/>
        <v>1</v>
      </c>
    </row>
    <row r="70" spans="1:5" x14ac:dyDescent="0.35">
      <c r="A70" s="30" t="str">
        <f>'01_Checklist'!A45</f>
        <v>R-38</v>
      </c>
      <c r="B70" s="31">
        <f>'01_Checklist'!G45</f>
        <v>1</v>
      </c>
      <c r="C70" s="38" t="str">
        <f>'01_Checklist'!E45</f>
        <v>clean</v>
      </c>
      <c r="D70" s="20" t="str">
        <f t="shared" si="3"/>
        <v>clean</v>
      </c>
      <c r="E70" s="16">
        <f t="shared" si="4"/>
        <v>1</v>
      </c>
    </row>
    <row r="71" spans="1:5" x14ac:dyDescent="0.35">
      <c r="A71" s="30" t="str">
        <f>'01_Checklist'!A46</f>
        <v>R-39</v>
      </c>
      <c r="B71" s="31">
        <f>'01_Checklist'!G46</f>
        <v>2</v>
      </c>
      <c r="C71" s="38" t="str">
        <f>'01_Checklist'!E46</f>
        <v>unknown</v>
      </c>
      <c r="D71" s="20" t="str">
        <f t="shared" si="3"/>
        <v>clean</v>
      </c>
      <c r="E71" s="16">
        <f t="shared" si="4"/>
        <v>1</v>
      </c>
    </row>
    <row r="72" spans="1:5" x14ac:dyDescent="0.35">
      <c r="A72" s="30" t="str">
        <f>'01_Checklist'!A47</f>
        <v>R-40</v>
      </c>
      <c r="B72" s="31">
        <f>'01_Checklist'!G47</f>
        <v>1</v>
      </c>
      <c r="C72" s="38" t="str">
        <f>'01_Checklist'!E47</f>
        <v>clean</v>
      </c>
      <c r="D72" s="20" t="str">
        <f t="shared" si="3"/>
        <v>clean</v>
      </c>
      <c r="E72" s="16">
        <f t="shared" si="4"/>
        <v>1</v>
      </c>
    </row>
    <row r="73" spans="1:5" x14ac:dyDescent="0.35">
      <c r="A73" s="30" t="str">
        <f>'01_Checklist'!A48</f>
        <v>R-41</v>
      </c>
      <c r="B73" s="31">
        <f>'01_Checklist'!G48</f>
        <v>3</v>
      </c>
      <c r="C73" s="38" t="str">
        <f>'01_Checklist'!E48</f>
        <v>clean</v>
      </c>
      <c r="D73" s="20" t="str">
        <f t="shared" si="3"/>
        <v>clean</v>
      </c>
      <c r="E73" s="16">
        <f t="shared" si="4"/>
        <v>1</v>
      </c>
    </row>
    <row r="74" spans="1:5" x14ac:dyDescent="0.35">
      <c r="A74" s="30" t="str">
        <f>'01_Checklist'!A49</f>
        <v>R-42</v>
      </c>
      <c r="B74" s="31">
        <f>'01_Checklist'!G49</f>
        <v>3</v>
      </c>
      <c r="C74" s="38" t="str">
        <f>'01_Checklist'!E49</f>
        <v>gap</v>
      </c>
      <c r="D74" s="20" t="str">
        <f t="shared" si="3"/>
        <v>clean</v>
      </c>
      <c r="E74" s="16">
        <f t="shared" si="4"/>
        <v>1</v>
      </c>
    </row>
    <row r="75" spans="1:5" x14ac:dyDescent="0.35">
      <c r="A75" s="30" t="str">
        <f>'01_Checklist'!A50</f>
        <v>R-43</v>
      </c>
      <c r="B75" s="31">
        <f>'01_Checklist'!G50</f>
        <v>2</v>
      </c>
      <c r="C75" s="38" t="str">
        <f>'01_Checklist'!E50</f>
        <v>clean</v>
      </c>
      <c r="D75" s="20" t="str">
        <f t="shared" si="3"/>
        <v>clean</v>
      </c>
      <c r="E75" s="16">
        <f t="shared" si="4"/>
        <v>1</v>
      </c>
    </row>
    <row r="76" spans="1:5" x14ac:dyDescent="0.35">
      <c r="A76" s="30" t="str">
        <f>'01_Checklist'!A51</f>
        <v>R-44</v>
      </c>
      <c r="B76" s="31">
        <f>'01_Checklist'!G51</f>
        <v>1</v>
      </c>
      <c r="C76" s="38" t="str">
        <f>'01_Checklist'!E51</f>
        <v>clean</v>
      </c>
      <c r="D76" s="20" t="str">
        <f t="shared" si="3"/>
        <v>clean</v>
      </c>
      <c r="E76" s="16">
        <f t="shared" si="4"/>
        <v>1</v>
      </c>
    </row>
    <row r="77" spans="1:5" x14ac:dyDescent="0.35">
      <c r="A77" s="30" t="str">
        <f>'01_Checklist'!A52</f>
        <v>R-45</v>
      </c>
      <c r="B77" s="31">
        <f>'01_Checklist'!G52</f>
        <v>1</v>
      </c>
      <c r="C77" s="38" t="str">
        <f>'01_Checklist'!E52</f>
        <v>clean</v>
      </c>
      <c r="D77" s="20" t="str">
        <f t="shared" si="3"/>
        <v>clean</v>
      </c>
      <c r="E77" s="16">
        <f t="shared" si="4"/>
        <v>1</v>
      </c>
    </row>
    <row r="78" spans="1:5" x14ac:dyDescent="0.35">
      <c r="A78" s="30" t="str">
        <f>'01_Checklist'!A53</f>
        <v>R-46</v>
      </c>
      <c r="B78" s="31">
        <f>'01_Checklist'!G53</f>
        <v>2</v>
      </c>
      <c r="C78" s="38" t="str">
        <f>'01_Checklist'!E53</f>
        <v>unknown</v>
      </c>
      <c r="D78" s="20" t="str">
        <f t="shared" si="3"/>
        <v>clean</v>
      </c>
      <c r="E78" s="16">
        <f t="shared" si="4"/>
        <v>1</v>
      </c>
    </row>
    <row r="79" spans="1:5" x14ac:dyDescent="0.35">
      <c r="A79" s="30" t="str">
        <f>'01_Checklist'!A54</f>
        <v>R-47</v>
      </c>
      <c r="B79" s="31">
        <f>'01_Checklist'!G54</f>
        <v>2</v>
      </c>
      <c r="C79" s="38" t="str">
        <f>'01_Checklist'!E54</f>
        <v>clean</v>
      </c>
      <c r="D79" s="20" t="str">
        <f t="shared" si="3"/>
        <v>clean</v>
      </c>
      <c r="E79" s="16">
        <f t="shared" si="4"/>
        <v>1</v>
      </c>
    </row>
    <row r="80" spans="1:5" x14ac:dyDescent="0.35">
      <c r="A80" s="30" t="str">
        <f>'01_Checklist'!A55</f>
        <v>R-48</v>
      </c>
      <c r="B80" s="31">
        <f>'01_Checklist'!G55</f>
        <v>1</v>
      </c>
      <c r="C80" s="38" t="str">
        <f>'01_Checklist'!E55</f>
        <v>clean</v>
      </c>
      <c r="D80" s="20" t="str">
        <f t="shared" si="3"/>
        <v>clean</v>
      </c>
      <c r="E80" s="16">
        <f t="shared" si="4"/>
        <v>1</v>
      </c>
    </row>
    <row r="81" spans="1:5" x14ac:dyDescent="0.35">
      <c r="A81" s="30" t="str">
        <f>'01_Checklist'!A56</f>
        <v>R-49</v>
      </c>
      <c r="B81" s="31">
        <f>'01_Checklist'!G56</f>
        <v>2</v>
      </c>
      <c r="C81" s="38" t="str">
        <f>'01_Checklist'!E56</f>
        <v>clean</v>
      </c>
      <c r="D81" s="20" t="str">
        <f t="shared" si="3"/>
        <v>clean</v>
      </c>
      <c r="E81" s="16">
        <f t="shared" si="4"/>
        <v>1</v>
      </c>
    </row>
    <row r="82" spans="1:5" x14ac:dyDescent="0.35">
      <c r="A82" s="30" t="str">
        <f>'01_Checklist'!A57</f>
        <v>R-50</v>
      </c>
      <c r="B82" s="31">
        <f>'01_Checklist'!G57</f>
        <v>3</v>
      </c>
      <c r="C82" s="38" t="str">
        <f>'01_Checklist'!E57</f>
        <v>clean</v>
      </c>
      <c r="D82" s="20" t="str">
        <f t="shared" si="3"/>
        <v>clean</v>
      </c>
      <c r="E82" s="16">
        <f t="shared" si="4"/>
        <v>1</v>
      </c>
    </row>
    <row r="83" spans="1:5" x14ac:dyDescent="0.35">
      <c r="A83" s="30" t="str">
        <f>'01_Checklist'!A58</f>
        <v>R-51</v>
      </c>
      <c r="B83" s="31">
        <f>'01_Checklist'!G58</f>
        <v>3</v>
      </c>
      <c r="C83" s="38" t="str">
        <f>'01_Checklist'!E58</f>
        <v>clean</v>
      </c>
      <c r="D83" s="20" t="str">
        <f t="shared" si="3"/>
        <v>clean</v>
      </c>
      <c r="E83" s="16">
        <f t="shared" si="4"/>
        <v>1</v>
      </c>
    </row>
    <row r="84" spans="1:5" x14ac:dyDescent="0.35">
      <c r="A84" s="30" t="str">
        <f>'01_Checklist'!A59</f>
        <v>R-52</v>
      </c>
      <c r="B84" s="31">
        <f>'01_Checklist'!G59</f>
        <v>2</v>
      </c>
      <c r="C84" s="38" t="str">
        <f>'01_Checklist'!E59</f>
        <v>clean</v>
      </c>
      <c r="D84" s="20" t="str">
        <f t="shared" si="3"/>
        <v>clean</v>
      </c>
      <c r="E84" s="16">
        <f t="shared" si="4"/>
        <v>1</v>
      </c>
    </row>
    <row r="85" spans="1:5" x14ac:dyDescent="0.35">
      <c r="A85" s="30" t="str">
        <f>'01_Checklist'!A60</f>
        <v>R-53</v>
      </c>
      <c r="B85" s="31">
        <f>'01_Checklist'!G60</f>
        <v>1</v>
      </c>
      <c r="C85" s="38" t="str">
        <f>'01_Checklist'!E60</f>
        <v>clean</v>
      </c>
      <c r="D85" s="20" t="str">
        <f t="shared" si="3"/>
        <v>clean</v>
      </c>
      <c r="E85" s="16">
        <f t="shared" si="4"/>
        <v>1</v>
      </c>
    </row>
    <row r="86" spans="1:5" x14ac:dyDescent="0.35">
      <c r="A86" s="30" t="str">
        <f>'01_Checklist'!A61</f>
        <v>R-54</v>
      </c>
      <c r="B86" s="31">
        <f>'01_Checklist'!G61</f>
        <v>2</v>
      </c>
      <c r="C86" s="38" t="str">
        <f>'01_Checklist'!E61</f>
        <v>unknown</v>
      </c>
      <c r="D86" s="20" t="str">
        <f t="shared" si="3"/>
        <v>clean</v>
      </c>
      <c r="E86" s="16">
        <f t="shared" si="4"/>
        <v>1</v>
      </c>
    </row>
    <row r="87" spans="1:5" x14ac:dyDescent="0.35">
      <c r="A87" s="30" t="str">
        <f>'01_Checklist'!A62</f>
        <v>R-55</v>
      </c>
      <c r="B87" s="31">
        <f>'01_Checklist'!G62</f>
        <v>2</v>
      </c>
      <c r="C87" s="38" t="str">
        <f>'01_Checklist'!E62</f>
        <v>clean</v>
      </c>
      <c r="D87" s="20" t="str">
        <f t="shared" si="3"/>
        <v>clean</v>
      </c>
      <c r="E87" s="16">
        <f t="shared" si="4"/>
        <v>1</v>
      </c>
    </row>
    <row r="88" spans="1:5" x14ac:dyDescent="0.35">
      <c r="A88" s="30" t="str">
        <f>'01_Checklist'!A63</f>
        <v>R-56</v>
      </c>
      <c r="B88" s="31">
        <f>'01_Checklist'!G63</f>
        <v>3</v>
      </c>
      <c r="C88" s="38" t="str">
        <f>'01_Checklist'!E63</f>
        <v>clean</v>
      </c>
      <c r="D88" s="20" t="str">
        <f t="shared" si="3"/>
        <v>clean</v>
      </c>
      <c r="E88" s="16">
        <f t="shared" si="4"/>
        <v>1</v>
      </c>
    </row>
    <row r="89" spans="1:5" x14ac:dyDescent="0.35">
      <c r="A89" s="30" t="str">
        <f>'01_Checklist'!A64</f>
        <v>R-57</v>
      </c>
      <c r="B89" s="31">
        <f>'01_Checklist'!G64</f>
        <v>2</v>
      </c>
      <c r="C89" s="38" t="str">
        <f>'01_Checklist'!E64</f>
        <v>clean</v>
      </c>
      <c r="D89" s="20" t="str">
        <f t="shared" si="3"/>
        <v>clean</v>
      </c>
      <c r="E89" s="16">
        <f t="shared" si="4"/>
        <v>1</v>
      </c>
    </row>
    <row r="90" spans="1:5" x14ac:dyDescent="0.35">
      <c r="A90" s="30" t="str">
        <f>'01_Checklist'!A65</f>
        <v>R-58</v>
      </c>
      <c r="B90" s="31">
        <f>'01_Checklist'!G65</f>
        <v>1</v>
      </c>
      <c r="C90" s="38" t="str">
        <f>'01_Checklist'!E65</f>
        <v>clean</v>
      </c>
      <c r="D90" s="20" t="str">
        <f t="shared" si="3"/>
        <v>clean</v>
      </c>
      <c r="E90" s="16">
        <f t="shared" si="4"/>
        <v>1</v>
      </c>
    </row>
    <row r="91" spans="1:5" x14ac:dyDescent="0.35">
      <c r="A91" s="30" t="str">
        <f>'01_Checklist'!A66</f>
        <v>R-59</v>
      </c>
      <c r="B91" s="31">
        <f>'01_Checklist'!G66</f>
        <v>1</v>
      </c>
      <c r="C91" s="38" t="str">
        <f>'01_Checklist'!E66</f>
        <v>clean</v>
      </c>
      <c r="D91" s="20" t="str">
        <f t="shared" si="3"/>
        <v>clean</v>
      </c>
      <c r="E91" s="16">
        <f t="shared" si="4"/>
        <v>1</v>
      </c>
    </row>
    <row r="92" spans="1:5" x14ac:dyDescent="0.35">
      <c r="A92" s="30" t="str">
        <f>'01_Checklist'!A67</f>
        <v>R-60</v>
      </c>
      <c r="B92" s="31">
        <f>'01_Checklist'!G67</f>
        <v>1</v>
      </c>
      <c r="C92" s="38" t="str">
        <f>'01_Checklist'!E67</f>
        <v>clean</v>
      </c>
      <c r="D92" s="20" t="str">
        <f t="shared" si="3"/>
        <v>clean</v>
      </c>
      <c r="E92" s="16">
        <f t="shared" si="4"/>
        <v>1</v>
      </c>
    </row>
  </sheetData>
  <dataValidations count="1">
    <dataValidation type="list" sqref="C4:C8" xr:uid="{00000000-0002-0000-0700-000000000000}">
      <formula1>"Yes,No"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/>
  </sheetViews>
  <sheetFormatPr defaultRowHeight="14.5" x14ac:dyDescent="0.35"/>
  <cols>
    <col min="1" max="1" width="6" customWidth="1"/>
    <col min="2" max="2" width="120" customWidth="1"/>
  </cols>
  <sheetData>
    <row r="1" spans="1:2" ht="24" customHeight="1" x14ac:dyDescent="0.4">
      <c r="A1" s="1" t="s">
        <v>431</v>
      </c>
      <c r="B1" s="2"/>
    </row>
    <row r="2" spans="1:2" x14ac:dyDescent="0.35">
      <c r="A2" s="3" t="s">
        <v>432</v>
      </c>
    </row>
    <row r="4" spans="1:2" ht="25" x14ac:dyDescent="0.35">
      <c r="A4" s="5" t="s">
        <v>3</v>
      </c>
      <c r="B4" s="5" t="s">
        <v>433</v>
      </c>
    </row>
    <row r="5" spans="1:2" ht="25" x14ac:dyDescent="0.35">
      <c r="A5" s="5" t="s">
        <v>5</v>
      </c>
      <c r="B5" s="5" t="s">
        <v>434</v>
      </c>
    </row>
    <row r="6" spans="1:2" ht="25" x14ac:dyDescent="0.35">
      <c r="A6" s="5" t="s">
        <v>7</v>
      </c>
      <c r="B6" s="5" t="s">
        <v>435</v>
      </c>
    </row>
    <row r="7" spans="1:2" ht="37.5" x14ac:dyDescent="0.35">
      <c r="A7" s="5" t="s">
        <v>9</v>
      </c>
      <c r="B7" s="5" t="s">
        <v>436</v>
      </c>
    </row>
    <row r="8" spans="1:2" ht="25" x14ac:dyDescent="0.35">
      <c r="A8" s="5" t="s">
        <v>437</v>
      </c>
      <c r="B8" s="5" t="s">
        <v>438</v>
      </c>
    </row>
    <row r="9" spans="1:2" ht="25" x14ac:dyDescent="0.35">
      <c r="A9" s="5" t="s">
        <v>439</v>
      </c>
      <c r="B9" s="5" t="s">
        <v>440</v>
      </c>
    </row>
    <row r="10" spans="1:2" ht="25" x14ac:dyDescent="0.35">
      <c r="A10" s="5" t="s">
        <v>441</v>
      </c>
      <c r="B10" s="5" t="s">
        <v>442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"/>
  <sheetViews>
    <sheetView workbookViewId="0"/>
  </sheetViews>
  <sheetFormatPr defaultRowHeight="14.5" x14ac:dyDescent="0.35"/>
  <cols>
    <col min="1" max="1" width="44" customWidth="1"/>
    <col min="2" max="3" width="16" customWidth="1"/>
    <col min="4" max="4" width="14" customWidth="1"/>
    <col min="5" max="6" width="12" customWidth="1"/>
  </cols>
  <sheetData>
    <row r="1" spans="1:6" ht="24" customHeight="1" x14ac:dyDescent="0.4">
      <c r="A1" s="1" t="s">
        <v>443</v>
      </c>
      <c r="B1" s="2"/>
      <c r="C1" s="2"/>
      <c r="D1" s="2"/>
      <c r="E1" s="2"/>
      <c r="F1" s="2"/>
    </row>
    <row r="2" spans="1:6" x14ac:dyDescent="0.35">
      <c r="A2" s="3" t="s">
        <v>444</v>
      </c>
    </row>
    <row r="3" spans="1:6" x14ac:dyDescent="0.35">
      <c r="A3" s="12" t="s">
        <v>445</v>
      </c>
      <c r="B3" s="13" t="s">
        <v>446</v>
      </c>
      <c r="C3" s="13" t="s">
        <v>447</v>
      </c>
      <c r="D3" s="13" t="s">
        <v>448</v>
      </c>
      <c r="E3" s="13" t="s">
        <v>67</v>
      </c>
      <c r="F3" s="13" t="s">
        <v>449</v>
      </c>
    </row>
    <row r="4" spans="1:6" x14ac:dyDescent="0.35">
      <c r="A4" s="5" t="s">
        <v>288</v>
      </c>
      <c r="B4" s="14">
        <v>180</v>
      </c>
      <c r="C4" s="31">
        <f>'02_Request_Load'!C24</f>
        <v>180</v>
      </c>
      <c r="D4" s="15">
        <f t="shared" ref="D4:D24" si="0">IF(ISNUMBER(C4),C4-B4,"")</f>
        <v>0</v>
      </c>
      <c r="E4" s="27" t="str">
        <f t="shared" ref="E4:E24" si="1">IF(NOT(ISNUMBER(C4)),"Not built",IF(ABS(D4)&lt;=F4+0.000000001,"Agrees","Check"))</f>
        <v>Agrees</v>
      </c>
      <c r="F4" s="14">
        <v>0</v>
      </c>
    </row>
    <row r="5" spans="1:6" x14ac:dyDescent="0.35">
      <c r="A5" s="5" t="s">
        <v>289</v>
      </c>
      <c r="B5" s="14">
        <v>98</v>
      </c>
      <c r="C5" s="31">
        <f>'02_Request_Load'!C25</f>
        <v>98</v>
      </c>
      <c r="D5" s="15">
        <f t="shared" si="0"/>
        <v>0</v>
      </c>
      <c r="E5" s="27" t="str">
        <f t="shared" si="1"/>
        <v>Agrees</v>
      </c>
      <c r="F5" s="14">
        <v>0</v>
      </c>
    </row>
    <row r="6" spans="1:6" x14ac:dyDescent="0.35">
      <c r="A6" s="5" t="s">
        <v>290</v>
      </c>
      <c r="B6" s="17">
        <v>10</v>
      </c>
      <c r="C6" s="34">
        <f>'02_Request_Load'!C26</f>
        <v>10</v>
      </c>
      <c r="D6" s="16">
        <f t="shared" si="0"/>
        <v>0</v>
      </c>
      <c r="E6" s="27" t="str">
        <f t="shared" si="1"/>
        <v>Agrees</v>
      </c>
      <c r="F6" s="17">
        <v>5.0000000000000001E-3</v>
      </c>
    </row>
    <row r="7" spans="1:6" x14ac:dyDescent="0.35">
      <c r="A7" s="5" t="s">
        <v>300</v>
      </c>
      <c r="B7" s="29">
        <v>0.79133900000000001</v>
      </c>
      <c r="C7" s="37">
        <f>'03_Heatmap'!C13</f>
        <v>0.79133858267716539</v>
      </c>
      <c r="D7" s="21">
        <f t="shared" si="0"/>
        <v>-4.1732283462270203E-7</v>
      </c>
      <c r="E7" s="27" t="str">
        <f t="shared" si="1"/>
        <v>Agrees</v>
      </c>
      <c r="F7" s="29">
        <v>5.0000000000000001E-4</v>
      </c>
    </row>
    <row r="8" spans="1:6" x14ac:dyDescent="0.35">
      <c r="A8" s="5" t="s">
        <v>304</v>
      </c>
      <c r="B8" s="29">
        <v>0.71653500000000003</v>
      </c>
      <c r="C8" s="37">
        <f>'03_Heatmap'!C17</f>
        <v>0.71653543307086609</v>
      </c>
      <c r="D8" s="21">
        <f t="shared" si="0"/>
        <v>4.3307086605715028E-7</v>
      </c>
      <c r="E8" s="27" t="str">
        <f t="shared" si="1"/>
        <v>Agrees</v>
      </c>
      <c r="F8" s="29">
        <v>5.0000000000000001E-4</v>
      </c>
    </row>
    <row r="9" spans="1:6" x14ac:dyDescent="0.35">
      <c r="A9" s="5" t="s">
        <v>301</v>
      </c>
      <c r="B9" s="14">
        <v>6</v>
      </c>
      <c r="C9" s="31">
        <f>'03_Heatmap'!C14</f>
        <v>6</v>
      </c>
      <c r="D9" s="15">
        <f t="shared" si="0"/>
        <v>0</v>
      </c>
      <c r="E9" s="27" t="str">
        <f t="shared" si="1"/>
        <v>Agrees</v>
      </c>
      <c r="F9" s="14">
        <v>0</v>
      </c>
    </row>
    <row r="10" spans="1:6" x14ac:dyDescent="0.35">
      <c r="A10" s="5" t="s">
        <v>302</v>
      </c>
      <c r="B10" s="14">
        <v>10</v>
      </c>
      <c r="C10" s="31">
        <f>'03_Heatmap'!C15</f>
        <v>10</v>
      </c>
      <c r="D10" s="15">
        <f t="shared" si="0"/>
        <v>0</v>
      </c>
      <c r="E10" s="27" t="str">
        <f t="shared" si="1"/>
        <v>Agrees</v>
      </c>
      <c r="F10" s="14">
        <v>0</v>
      </c>
    </row>
    <row r="11" spans="1:6" x14ac:dyDescent="0.35">
      <c r="A11" s="5" t="s">
        <v>328</v>
      </c>
      <c r="B11" s="14">
        <v>3</v>
      </c>
      <c r="C11" s="31">
        <f>'04_Triage'!C17</f>
        <v>3</v>
      </c>
      <c r="D11" s="15">
        <f t="shared" si="0"/>
        <v>0</v>
      </c>
      <c r="E11" s="27" t="str">
        <f t="shared" si="1"/>
        <v>Agrees</v>
      </c>
      <c r="F11" s="14">
        <v>0</v>
      </c>
    </row>
    <row r="12" spans="1:6" x14ac:dyDescent="0.35">
      <c r="A12" s="5" t="s">
        <v>329</v>
      </c>
      <c r="B12" s="14">
        <v>1</v>
      </c>
      <c r="C12" s="31">
        <f>'04_Triage'!C18</f>
        <v>1</v>
      </c>
      <c r="D12" s="15">
        <f t="shared" si="0"/>
        <v>0</v>
      </c>
      <c r="E12" s="27" t="str">
        <f t="shared" si="1"/>
        <v>Agrees</v>
      </c>
      <c r="F12" s="14">
        <v>0</v>
      </c>
    </row>
    <row r="13" spans="1:6" x14ac:dyDescent="0.35">
      <c r="A13" s="5" t="s">
        <v>330</v>
      </c>
      <c r="B13" s="14">
        <v>1</v>
      </c>
      <c r="C13" s="31">
        <f>'04_Triage'!C19</f>
        <v>1</v>
      </c>
      <c r="D13" s="15">
        <f t="shared" si="0"/>
        <v>0</v>
      </c>
      <c r="E13" s="27" t="str">
        <f t="shared" si="1"/>
        <v>Agrees</v>
      </c>
      <c r="F13" s="14">
        <v>0</v>
      </c>
    </row>
    <row r="14" spans="1:6" x14ac:dyDescent="0.35">
      <c r="A14" s="5" t="s">
        <v>331</v>
      </c>
      <c r="B14" s="14">
        <v>1</v>
      </c>
      <c r="C14" s="31">
        <f>'04_Triage'!C20</f>
        <v>1</v>
      </c>
      <c r="D14" s="15">
        <f t="shared" si="0"/>
        <v>0</v>
      </c>
      <c r="E14" s="27" t="str">
        <f t="shared" si="1"/>
        <v>Agrees</v>
      </c>
      <c r="F14" s="14">
        <v>0</v>
      </c>
    </row>
    <row r="15" spans="1:6" x14ac:dyDescent="0.35">
      <c r="A15" s="5" t="s">
        <v>332</v>
      </c>
      <c r="B15" s="25">
        <v>2.1999999999999999E-2</v>
      </c>
      <c r="C15" s="35">
        <f>'04_Triage'!C21</f>
        <v>2.1999999999999999E-2</v>
      </c>
      <c r="D15" s="24">
        <f t="shared" si="0"/>
        <v>0</v>
      </c>
      <c r="E15" s="27" t="str">
        <f t="shared" si="1"/>
        <v>Agrees</v>
      </c>
      <c r="F15" s="25">
        <v>5.0000000000000002E-5</v>
      </c>
    </row>
    <row r="16" spans="1:6" x14ac:dyDescent="0.35">
      <c r="A16" s="5" t="s">
        <v>409</v>
      </c>
      <c r="B16" s="14">
        <v>7</v>
      </c>
      <c r="C16" s="31">
        <f>'06_Critical_Path'!C21</f>
        <v>7</v>
      </c>
      <c r="D16" s="15">
        <f t="shared" si="0"/>
        <v>0</v>
      </c>
      <c r="E16" s="27" t="str">
        <f t="shared" si="1"/>
        <v>Agrees</v>
      </c>
      <c r="F16" s="14">
        <v>0</v>
      </c>
    </row>
    <row r="17" spans="1:6" x14ac:dyDescent="0.35">
      <c r="A17" s="5" t="s">
        <v>411</v>
      </c>
      <c r="B17" s="14">
        <v>3</v>
      </c>
      <c r="C17" s="31">
        <f>'06_Critical_Path'!C23</f>
        <v>3</v>
      </c>
      <c r="D17" s="15">
        <f t="shared" si="0"/>
        <v>0</v>
      </c>
      <c r="E17" s="27" t="str">
        <f t="shared" si="1"/>
        <v>Agrees</v>
      </c>
      <c r="F17" s="14">
        <v>0</v>
      </c>
    </row>
    <row r="18" spans="1:6" x14ac:dyDescent="0.35">
      <c r="A18" s="5" t="s">
        <v>428</v>
      </c>
      <c r="B18" s="29">
        <v>0.96062999999999998</v>
      </c>
      <c r="C18" s="37">
        <f>'07_Report'!C29</f>
        <v>0.96062992125984248</v>
      </c>
      <c r="D18" s="21">
        <f t="shared" si="0"/>
        <v>-7.8740157505308161E-8</v>
      </c>
      <c r="E18" s="27" t="str">
        <f t="shared" si="1"/>
        <v>Agrees</v>
      </c>
      <c r="F18" s="29">
        <v>5.0000000000000001E-4</v>
      </c>
    </row>
    <row r="19" spans="1:6" x14ac:dyDescent="0.35">
      <c r="A19" s="5" t="s">
        <v>422</v>
      </c>
      <c r="B19" s="25">
        <v>0.28758299999999998</v>
      </c>
      <c r="C19" s="35">
        <f>'07_Report'!D19</f>
        <v>0.28758348041450954</v>
      </c>
      <c r="D19" s="24">
        <f t="shared" si="0"/>
        <v>4.8041450956270992E-7</v>
      </c>
      <c r="E19" s="27" t="str">
        <f t="shared" si="1"/>
        <v>Agrees</v>
      </c>
      <c r="F19" s="25">
        <v>5.0000000000000002E-5</v>
      </c>
    </row>
    <row r="20" spans="1:6" x14ac:dyDescent="0.35">
      <c r="A20" s="5" t="s">
        <v>423</v>
      </c>
      <c r="B20" s="25">
        <v>0.16361600000000001</v>
      </c>
      <c r="C20" s="35">
        <f>'07_Report'!E20</f>
        <v>0.16361599999999998</v>
      </c>
      <c r="D20" s="24">
        <f t="shared" si="0"/>
        <v>-2.7755575615628914E-17</v>
      </c>
      <c r="E20" s="27" t="str">
        <f t="shared" si="1"/>
        <v>Agrees</v>
      </c>
      <c r="F20" s="25">
        <v>5.0000000000000002E-5</v>
      </c>
    </row>
    <row r="21" spans="1:6" x14ac:dyDescent="0.35">
      <c r="A21" s="5" t="s">
        <v>424</v>
      </c>
      <c r="B21" s="25">
        <v>0.12396699999999999</v>
      </c>
      <c r="C21" s="35">
        <f>'07_Report'!E21</f>
        <v>0.12396748041450956</v>
      </c>
      <c r="D21" s="24">
        <f t="shared" si="0"/>
        <v>4.8041450956270992E-7</v>
      </c>
      <c r="E21" s="27" t="str">
        <f t="shared" si="1"/>
        <v>Agrees</v>
      </c>
      <c r="F21" s="25">
        <v>5.0000000000000002E-5</v>
      </c>
    </row>
    <row r="22" spans="1:6" x14ac:dyDescent="0.35">
      <c r="A22" s="5" t="s">
        <v>341</v>
      </c>
      <c r="B22" s="25">
        <v>2.1999999999999999E-2</v>
      </c>
      <c r="C22" s="35">
        <f>'04_Triage'!C33</f>
        <v>2.1999999999999999E-2</v>
      </c>
      <c r="D22" s="24">
        <f t="shared" si="0"/>
        <v>0</v>
      </c>
      <c r="E22" s="27" t="str">
        <f t="shared" si="1"/>
        <v>Agrees</v>
      </c>
      <c r="F22" s="25">
        <v>5.0000000000000002E-5</v>
      </c>
    </row>
    <row r="23" spans="1:6" x14ac:dyDescent="0.35">
      <c r="A23" s="5" t="s">
        <v>348</v>
      </c>
      <c r="B23" s="25">
        <v>2.1600000000000001E-2</v>
      </c>
      <c r="C23" s="35">
        <f>'04_Triage'!C40</f>
        <v>2.1600000000000001E-2</v>
      </c>
      <c r="D23" s="24">
        <f t="shared" si="0"/>
        <v>0</v>
      </c>
      <c r="E23" s="27" t="str">
        <f t="shared" si="1"/>
        <v>Agrees</v>
      </c>
      <c r="F23" s="25">
        <v>5.0000000000000002E-5</v>
      </c>
    </row>
    <row r="24" spans="1:6" x14ac:dyDescent="0.35">
      <c r="A24" s="5" t="s">
        <v>354</v>
      </c>
      <c r="B24" s="25">
        <v>3.2832E-2</v>
      </c>
      <c r="C24" s="35">
        <f>'04_Triage'!C46</f>
        <v>3.2832E-2</v>
      </c>
      <c r="D24" s="24">
        <f t="shared" si="0"/>
        <v>0</v>
      </c>
      <c r="E24" s="27" t="str">
        <f t="shared" si="1"/>
        <v>Agrees</v>
      </c>
      <c r="F24" s="25">
        <v>5.0000000000000002E-5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ReadMe</vt:lpstr>
      <vt:lpstr>01_Checklist</vt:lpstr>
      <vt:lpstr>02_Request_Load</vt:lpstr>
      <vt:lpstr>03_Heatmap</vt:lpstr>
      <vt:lpstr>04_Triage</vt:lpstr>
      <vt:lpstr>05_Remediation</vt:lpstr>
      <vt:lpstr>06_Critical_Path</vt:lpstr>
      <vt:lpstr>07_Report</vt:lpstr>
      <vt:lpstr>08_AI_Spec</vt:lpstr>
      <vt:lpstr>09_Answer_Check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Anbuselvan A S</cp:lastModifiedBy>
  <dcterms:created xsi:type="dcterms:W3CDTF">2026-09-25T18:23:22Z</dcterms:created>
  <dcterms:modified xsi:type="dcterms:W3CDTF">2026-09-25T18:23:25Z</dcterms:modified>
</cp:coreProperties>
</file>