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buselvan\Projects\Dissent Courses\studio\public\courses\diligence-tie-out\"/>
    </mc:Choice>
  </mc:AlternateContent>
  <xr:revisionPtr revIDLastSave="0" documentId="13_ncr:1_{B4C915A9-96B4-4600-91F7-BCAF07DA09E9}" xr6:coauthVersionLast="47" xr6:coauthVersionMax="47" xr10:uidLastSave="{00000000-0000-0000-0000-000000000000}"/>
  <bookViews>
    <workbookView xWindow="2280" yWindow="2280" windowWidth="14400" windowHeight="8170" xr2:uid="{00000000-000D-0000-FFFF-FFFF00000000}"/>
  </bookViews>
  <sheets>
    <sheet name="ReadMe" sheetId="1" r:id="rId1"/>
    <sheet name="01_TB_Map" sheetId="2" r:id="rId2"/>
    <sheet name="02_Revenue_GST" sheetId="3" r:id="rId3"/>
    <sheet name="03_Credits" sheetId="4" r:id="rId4"/>
    <sheet name="04_Proof_of_Cash" sheetId="5" r:id="rId5"/>
    <sheet name="05_Reconciling_Items" sheetId="6" r:id="rId6"/>
    <sheet name="06_AI_Spec" sheetId="7" r:id="rId7"/>
    <sheet name="07_Answer_Check"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8" l="1"/>
  <c r="D22" i="6"/>
  <c r="C25" i="8" s="1"/>
  <c r="E21" i="6"/>
  <c r="C24" i="8" s="1"/>
  <c r="D20" i="6"/>
  <c r="D19" i="6"/>
  <c r="C23" i="8" s="1"/>
  <c r="D18" i="6"/>
  <c r="C22" i="8" s="1"/>
  <c r="C13" i="5"/>
  <c r="C12" i="5"/>
  <c r="B12" i="5"/>
  <c r="C10" i="5"/>
  <c r="B10" i="5"/>
  <c r="B9" i="5"/>
  <c r="C8" i="5"/>
  <c r="B8" i="5"/>
  <c r="C6" i="5"/>
  <c r="C11" i="5" s="1"/>
  <c r="B6" i="5"/>
  <c r="C44" i="4"/>
  <c r="C16" i="8" s="1"/>
  <c r="C39" i="4"/>
  <c r="C38" i="4"/>
  <c r="E36" i="4"/>
  <c r="E35" i="4"/>
  <c r="E34" i="4"/>
  <c r="E33" i="4"/>
  <c r="E32" i="4"/>
  <c r="E31" i="4"/>
  <c r="E30" i="4"/>
  <c r="E29" i="4"/>
  <c r="E28" i="4"/>
  <c r="E27" i="4"/>
  <c r="E23" i="4"/>
  <c r="I22" i="4"/>
  <c r="F22" i="4"/>
  <c r="I21" i="4"/>
  <c r="F21" i="4"/>
  <c r="I20" i="4"/>
  <c r="F20" i="4"/>
  <c r="I19" i="4"/>
  <c r="F19" i="4"/>
  <c r="I18" i="4"/>
  <c r="F18" i="4"/>
  <c r="I17" i="4"/>
  <c r="F17" i="4"/>
  <c r="F23" i="4" s="1"/>
  <c r="C14" i="8" s="1"/>
  <c r="C13" i="4"/>
  <c r="B13" i="4"/>
  <c r="D12" i="4"/>
  <c r="C13" i="8" s="1"/>
  <c r="D11" i="4"/>
  <c r="D13" i="4" s="1"/>
  <c r="D7" i="4"/>
  <c r="C7" i="4"/>
  <c r="B7" i="4"/>
  <c r="E6" i="4"/>
  <c r="C12" i="8" s="1"/>
  <c r="E5" i="4"/>
  <c r="E7" i="4" s="1"/>
  <c r="B87" i="3"/>
  <c r="E86" i="3"/>
  <c r="E85" i="3"/>
  <c r="E84" i="3"/>
  <c r="E83" i="3"/>
  <c r="E82" i="3"/>
  <c r="E81" i="3"/>
  <c r="E80" i="3"/>
  <c r="E79" i="3"/>
  <c r="E78" i="3"/>
  <c r="E77" i="3"/>
  <c r="E76" i="3"/>
  <c r="E75" i="3"/>
  <c r="C73" i="3"/>
  <c r="C71" i="3"/>
  <c r="D84" i="3" s="1"/>
  <c r="C68" i="3"/>
  <c r="E60" i="3"/>
  <c r="F60" i="3" s="1"/>
  <c r="F59" i="3"/>
  <c r="E59" i="3"/>
  <c r="F58" i="3"/>
  <c r="E58" i="3"/>
  <c r="F57" i="3"/>
  <c r="E57" i="3"/>
  <c r="E56" i="3"/>
  <c r="F56" i="3" s="1"/>
  <c r="F55" i="3"/>
  <c r="E55" i="3"/>
  <c r="F54" i="3"/>
  <c r="E54" i="3"/>
  <c r="F53" i="3"/>
  <c r="E53" i="3"/>
  <c r="B48" i="3"/>
  <c r="E47" i="3"/>
  <c r="D47" i="3"/>
  <c r="C47" i="3"/>
  <c r="F47" i="3" s="1"/>
  <c r="E46" i="3"/>
  <c r="C46" i="3"/>
  <c r="E45" i="3"/>
  <c r="C45" i="3"/>
  <c r="F45" i="3" s="1"/>
  <c r="E44" i="3"/>
  <c r="C44" i="3"/>
  <c r="E43" i="3"/>
  <c r="C43" i="3"/>
  <c r="E42" i="3"/>
  <c r="E41" i="3"/>
  <c r="C41" i="3"/>
  <c r="E40" i="3"/>
  <c r="C40" i="3"/>
  <c r="E39" i="3"/>
  <c r="C39" i="3"/>
  <c r="E38" i="3"/>
  <c r="C38" i="3"/>
  <c r="E37" i="3"/>
  <c r="D37" i="3"/>
  <c r="C37" i="3"/>
  <c r="F37" i="3" s="1"/>
  <c r="E36" i="3"/>
  <c r="D36" i="3"/>
  <c r="C36" i="3"/>
  <c r="F36" i="3" s="1"/>
  <c r="C34" i="3"/>
  <c r="C33" i="3"/>
  <c r="D43" i="3" s="1"/>
  <c r="C32" i="3"/>
  <c r="D45" i="3" s="1"/>
  <c r="C29" i="3"/>
  <c r="C11" i="8" s="1"/>
  <c r="F21" i="3"/>
  <c r="E21" i="3"/>
  <c r="E20" i="3"/>
  <c r="F20" i="3" s="1"/>
  <c r="E19" i="3"/>
  <c r="F19" i="3" s="1"/>
  <c r="F18" i="3"/>
  <c r="E18" i="3"/>
  <c r="F17" i="3"/>
  <c r="E17" i="3"/>
  <c r="F16" i="3"/>
  <c r="E16" i="3"/>
  <c r="F15" i="3"/>
  <c r="E15" i="3"/>
  <c r="E14" i="3"/>
  <c r="F14" i="3" s="1"/>
  <c r="F13" i="3"/>
  <c r="E13" i="3"/>
  <c r="F12" i="3"/>
  <c r="E12" i="3"/>
  <c r="F11" i="3"/>
  <c r="E11" i="3"/>
  <c r="F10" i="3"/>
  <c r="E10" i="3"/>
  <c r="C62" i="2"/>
  <c r="C61" i="2"/>
  <c r="D54" i="2"/>
  <c r="D53" i="2"/>
  <c r="D51" i="2"/>
  <c r="D49" i="2"/>
  <c r="D47" i="2"/>
  <c r="D46" i="2"/>
  <c r="D48" i="2" s="1"/>
  <c r="D56" i="2" s="1"/>
  <c r="C5" i="8" s="1"/>
  <c r="D41" i="2"/>
  <c r="D40" i="2"/>
  <c r="D39" i="2"/>
  <c r="D38" i="2"/>
  <c r="D37" i="2"/>
  <c r="D36" i="2"/>
  <c r="D35" i="2"/>
  <c r="D42" i="2" s="1"/>
  <c r="F31" i="2"/>
  <c r="G31" i="2" s="1"/>
  <c r="F30" i="2"/>
  <c r="G30" i="2" s="1"/>
  <c r="F29" i="2"/>
  <c r="G29" i="2" s="1"/>
  <c r="F28" i="2"/>
  <c r="G28" i="2" s="1"/>
  <c r="F27" i="2"/>
  <c r="G27" i="2" s="1"/>
  <c r="F26" i="2"/>
  <c r="G26" i="2" s="1"/>
  <c r="F25" i="2"/>
  <c r="G25" i="2" s="1"/>
  <c r="F24" i="2"/>
  <c r="G24" i="2" s="1"/>
  <c r="F23" i="2"/>
  <c r="G23" i="2" s="1"/>
  <c r="F22" i="2"/>
  <c r="G22" i="2" s="1"/>
  <c r="G21" i="2"/>
  <c r="F20" i="2"/>
  <c r="G20" i="2" s="1"/>
  <c r="F19" i="2"/>
  <c r="G19" i="2" s="1"/>
  <c r="F18" i="2"/>
  <c r="G18" i="2" s="1"/>
  <c r="F17" i="2"/>
  <c r="G17" i="2" s="1"/>
  <c r="F16" i="2"/>
  <c r="G16" i="2" s="1"/>
  <c r="F15" i="2"/>
  <c r="G15" i="2" s="1"/>
  <c r="F14" i="2"/>
  <c r="G14" i="2" s="1"/>
  <c r="G13" i="2"/>
  <c r="F13" i="2"/>
  <c r="F12" i="2"/>
  <c r="G12" i="2" s="1"/>
  <c r="F11" i="2"/>
  <c r="G11" i="2" s="1"/>
  <c r="F10" i="2"/>
  <c r="G10" i="2" s="1"/>
  <c r="F9" i="2"/>
  <c r="G9" i="2" s="1"/>
  <c r="G8" i="2"/>
  <c r="F8" i="2"/>
  <c r="F7" i="2"/>
  <c r="G6" i="2"/>
  <c r="F6" i="2"/>
  <c r="F5" i="2"/>
  <c r="C78" i="3" l="1"/>
  <c r="C75" i="3"/>
  <c r="F75" i="3" s="1"/>
  <c r="C79" i="3"/>
  <c r="C65" i="3"/>
  <c r="E87" i="3"/>
  <c r="C23" i="3"/>
  <c r="C92" i="3" s="1"/>
  <c r="E48" i="3"/>
  <c r="D41" i="3"/>
  <c r="F41" i="3" s="1"/>
  <c r="C76" i="3"/>
  <c r="F76" i="3" s="1"/>
  <c r="C80" i="3"/>
  <c r="C84" i="3"/>
  <c r="C82" i="3"/>
  <c r="C41" i="4"/>
  <c r="C62" i="3"/>
  <c r="D75" i="3"/>
  <c r="C83" i="3"/>
  <c r="B11" i="5"/>
  <c r="B13" i="5" s="1"/>
  <c r="C47" i="2"/>
  <c r="C24" i="3"/>
  <c r="C8" i="8" s="1"/>
  <c r="F46" i="3"/>
  <c r="D76" i="3"/>
  <c r="D80" i="3"/>
  <c r="D38" i="3"/>
  <c r="F38" i="3" s="1"/>
  <c r="C42" i="3"/>
  <c r="D46" i="3"/>
  <c r="C85" i="3"/>
  <c r="I23" i="4"/>
  <c r="C15" i="8" s="1"/>
  <c r="E19" i="8"/>
  <c r="D77" i="3"/>
  <c r="D81" i="3"/>
  <c r="C72" i="3"/>
  <c r="D82" i="3" s="1"/>
  <c r="C86" i="3"/>
  <c r="D86" i="3"/>
  <c r="C14" i="5"/>
  <c r="C63" i="3"/>
  <c r="C64" i="3" s="1"/>
  <c r="C66" i="3" s="1"/>
  <c r="C49" i="2"/>
  <c r="F43" i="3"/>
  <c r="D42" i="3"/>
  <c r="C77" i="3"/>
  <c r="C81" i="3"/>
  <c r="D85" i="3"/>
  <c r="C40" i="4"/>
  <c r="C42" i="4" s="1"/>
  <c r="C17" i="8" s="1"/>
  <c r="D17" i="8" s="1"/>
  <c r="E17" i="8" s="1"/>
  <c r="D19" i="8"/>
  <c r="C25" i="3"/>
  <c r="C7" i="8"/>
  <c r="F84" i="3"/>
  <c r="D12" i="8"/>
  <c r="E12" i="8"/>
  <c r="D25" i="8"/>
  <c r="E25" i="8" s="1"/>
  <c r="C21" i="8"/>
  <c r="C16" i="5"/>
  <c r="C19" i="5" s="1"/>
  <c r="C20" i="5" s="1"/>
  <c r="D8" i="8"/>
  <c r="E8" i="8" s="1"/>
  <c r="D24" i="8"/>
  <c r="E24" i="8" s="1"/>
  <c r="D11" i="8"/>
  <c r="E11" i="8" s="1"/>
  <c r="D5" i="8"/>
  <c r="E5" i="8" s="1"/>
  <c r="D13" i="8"/>
  <c r="E13" i="8" s="1"/>
  <c r="D22" i="8"/>
  <c r="E22" i="8"/>
  <c r="D23" i="8"/>
  <c r="E23" i="8" s="1"/>
  <c r="C26" i="3"/>
  <c r="D15" i="8"/>
  <c r="E15" i="8" s="1"/>
  <c r="D14" i="8"/>
  <c r="E14" i="8" s="1"/>
  <c r="C53" i="2"/>
  <c r="G7" i="2"/>
  <c r="C54" i="2"/>
  <c r="D50" i="2"/>
  <c r="D52" i="2" s="1"/>
  <c r="D55" i="2" s="1"/>
  <c r="C48" i="3"/>
  <c r="C46" i="2"/>
  <c r="C51" i="2"/>
  <c r="D16" i="8"/>
  <c r="E16" i="8" s="1"/>
  <c r="G5" i="2"/>
  <c r="D39" i="3"/>
  <c r="F39" i="3" s="1"/>
  <c r="D44" i="3"/>
  <c r="F44" i="3" s="1"/>
  <c r="D78" i="3"/>
  <c r="F78" i="3" s="1"/>
  <c r="D83" i="3"/>
  <c r="D40" i="3"/>
  <c r="F40" i="3" s="1"/>
  <c r="D79" i="3"/>
  <c r="F86" i="3" l="1"/>
  <c r="D48" i="3"/>
  <c r="F80" i="3"/>
  <c r="F77" i="3"/>
  <c r="C48" i="2"/>
  <c r="F79" i="3"/>
  <c r="F87" i="3" s="1"/>
  <c r="B14" i="5"/>
  <c r="C18" i="8" s="1"/>
  <c r="F85" i="3"/>
  <c r="F83" i="3"/>
  <c r="F42" i="3"/>
  <c r="F48" i="3" s="1"/>
  <c r="C87" i="3"/>
  <c r="F81" i="3"/>
  <c r="F82" i="3"/>
  <c r="C10" i="8"/>
  <c r="C67" i="3"/>
  <c r="D21" i="8"/>
  <c r="E21" i="8" s="1"/>
  <c r="D87" i="3"/>
  <c r="C56" i="2"/>
  <c r="C6" i="8" s="1"/>
  <c r="C50" i="2"/>
  <c r="C52" i="2" s="1"/>
  <c r="C55" i="2" s="1"/>
  <c r="C27" i="3"/>
  <c r="E7" i="8"/>
  <c r="D7" i="8"/>
  <c r="C39" i="2"/>
  <c r="C38" i="2"/>
  <c r="C37" i="2"/>
  <c r="C65" i="2" s="1"/>
  <c r="C41" i="2"/>
  <c r="C36" i="2"/>
  <c r="C40" i="2"/>
  <c r="C35" i="2"/>
  <c r="C88" i="3" l="1"/>
  <c r="B16" i="5"/>
  <c r="B19" i="5" s="1"/>
  <c r="C49" i="3"/>
  <c r="D6" i="8"/>
  <c r="E6" i="8" s="1"/>
  <c r="C9" i="8"/>
  <c r="C28" i="3"/>
  <c r="B20" i="5"/>
  <c r="C20" i="8"/>
  <c r="E18" i="8"/>
  <c r="D18" i="8"/>
  <c r="C4" i="8"/>
  <c r="C42" i="2"/>
  <c r="C63" i="2" s="1"/>
  <c r="D10" i="8"/>
  <c r="E10" i="8" s="1"/>
  <c r="D4" i="8" l="1"/>
  <c r="E4" i="8" s="1"/>
  <c r="D20" i="8"/>
  <c r="E20" i="8" s="1"/>
  <c r="D9" i="8"/>
  <c r="E9" i="8" s="1"/>
</calcChain>
</file>

<file path=xl/sharedStrings.xml><?xml version="1.0" encoding="utf-8"?>
<sst xmlns="http://schemas.openxmlformats.org/spreadsheetml/2006/main" count="593" uniqueCount="371">
  <si>
    <t>Kalasu Home Appliances Private Limited: tie-out workbook with a proof of cash</t>
  </si>
  <si>
    <t>The Tie-Out: Books, Returns and Bank, Dissent Advisory. Fictional company; every figure is constructed for teaching. ₹ Cr unless a row says otherwise.</t>
  </si>
  <si>
    <t>How to use</t>
  </si>
  <si>
    <t>1</t>
  </si>
  <si>
    <t>Work alongside the course. Each worked example names the sheet it draws on.</t>
  </si>
  <si>
    <t>2</t>
  </si>
  <si>
    <t>Change a blue input or a yellow choice and everything downstream recalculates: the mapping and its checks, the GSTR-1 tie by GSTIN, the credits, the proof of cash and the memo.</t>
  </si>
  <si>
    <t>3</t>
  </si>
  <si>
    <t>Compare the results with 07_Answer_Check. It flags any figure that differs from the course by more than its tolerance.</t>
  </si>
  <si>
    <t>4</t>
  </si>
  <si>
    <t>Example: set 01_TB_Map F21 to Performance marketing and the CM1 margin returns to the audited 54.0%, as Chapter I shows.</t>
  </si>
  <si>
    <t>Colour legend</t>
  </si>
  <si>
    <t>Blue text</t>
  </si>
  <si>
    <t>Typed inputs from the case.</t>
  </si>
  <si>
    <t>Black text</t>
  </si>
  <si>
    <t>Formulas.</t>
  </si>
  <si>
    <t>Green text</t>
  </si>
  <si>
    <t>Links to another sheet.</t>
  </si>
  <si>
    <t>Yellow fill</t>
  </si>
  <si>
    <t>Choices the course invites you to change.</t>
  </si>
  <si>
    <t>Sheets</t>
  </si>
  <si>
    <t>01_TB_Map</t>
  </si>
  <si>
    <t>FY26 ledgers mapped to the statements and the MIS, with the three checks</t>
  </si>
  <si>
    <t>02_Revenue_GST</t>
  </si>
  <si>
    <t>Books against GSTR-1 by GSTIN, the reconciling items and the threshold</t>
  </si>
  <si>
    <t>03_Credits</t>
  </si>
  <si>
    <t>TCS against GSTR-8 and the portal, 194-O against the AIS, TDS against 26Q, ITC against 2B</t>
  </si>
  <si>
    <t>04_Proof_of_Cash</t>
  </si>
  <si>
    <t>The festive quarter from revenue to the bank, by channel</t>
  </si>
  <si>
    <t>05_Reconciling_Items</t>
  </si>
  <si>
    <t>Every item as timing, error or exposure, and the exposures carried forward</t>
  </si>
  <si>
    <t>06_AI_Spec</t>
  </si>
  <si>
    <t>The specification for an AI tool</t>
  </si>
  <si>
    <t>07_Answer_Check</t>
  </si>
  <si>
    <t>Your figures against the course</t>
  </si>
  <si>
    <t>The case</t>
  </si>
  <si>
    <t>Product</t>
  </si>
  <si>
    <t>Small kitchen appliances, GST at 18%</t>
  </si>
  <si>
    <t>GMV the founders quote, FY26</t>
  </si>
  <si>
    <t>₹49.12 Cr</t>
  </si>
  <si>
    <t>Net revenue, FY26</t>
  </si>
  <si>
    <t>₹30.00 Cr: website 40%, marketplaces 45%, quick commerce 15%</t>
  </si>
  <si>
    <t>Contribution after marketing (CM3)</t>
  </si>
  <si>
    <t>₹3.39 Cr (11.3%)</t>
  </si>
  <si>
    <t>EBITDA, FY26</t>
  </si>
  <si>
    <t>Loss of ₹4.53 Cr</t>
  </si>
  <si>
    <t>Series A, April 2025</t>
  </si>
  <si>
    <t>₹40.00 Cr from a domestic Category II AIF</t>
  </si>
  <si>
    <t>Cash and investments, 31 March 2026</t>
  </si>
  <si>
    <t>₹32.59 Cr</t>
  </si>
  <si>
    <t>Framework and tax</t>
  </si>
  <si>
    <t>Accounting Standards; Section 115BAA, now Section 200, 25.168%</t>
  </si>
  <si>
    <t>Headcount</t>
  </si>
  <si>
    <t>50, all in Bengaluru</t>
  </si>
  <si>
    <t>From ledger to statement to MIS, FY26</t>
  </si>
  <si>
    <t>Each profit and loss ledger mapped once. The yellow cell is the junior's mapping of marketplace advertising; set it back to Performance marketing to see the audited view.</t>
  </si>
  <si>
    <t>Code</t>
  </si>
  <si>
    <t>Account</t>
  </si>
  <si>
    <t>FY26</t>
  </si>
  <si>
    <t>Statement line, audited</t>
  </si>
  <si>
    <t>MIS line, audited</t>
  </si>
  <si>
    <t>MIS line, as mapped</t>
  </si>
  <si>
    <t>Statement line, as mapped</t>
  </si>
  <si>
    <t>3101</t>
  </si>
  <si>
    <t>Sales, website</t>
  </si>
  <si>
    <t>Revenue from operations</t>
  </si>
  <si>
    <t>Net revenue</t>
  </si>
  <si>
    <t>3102</t>
  </si>
  <si>
    <t>Sales, marketplaces</t>
  </si>
  <si>
    <t>3103</t>
  </si>
  <si>
    <t>Sales, quick commerce</t>
  </si>
  <si>
    <t>3111</t>
  </si>
  <si>
    <t>Returns, website</t>
  </si>
  <si>
    <t>3112</t>
  </si>
  <si>
    <t>Returns, marketplaces</t>
  </si>
  <si>
    <t>3113</t>
  </si>
  <si>
    <t>Returns, quick commerce</t>
  </si>
  <si>
    <t>3201</t>
  </si>
  <si>
    <t>Interest on deposits and liquid funds</t>
  </si>
  <si>
    <t>Other income</t>
  </si>
  <si>
    <t>Below EBITDA</t>
  </si>
  <si>
    <t>4101</t>
  </si>
  <si>
    <t>Cost of goods sold, with return write-offs</t>
  </si>
  <si>
    <t>Purchases and change in stock</t>
  </si>
  <si>
    <t>Cost of goods</t>
  </si>
  <si>
    <t>4201</t>
  </si>
  <si>
    <t>Packaging</t>
  </si>
  <si>
    <t>Other expenses</t>
  </si>
  <si>
    <t>Fulfilment</t>
  </si>
  <si>
    <t>4202</t>
  </si>
  <si>
    <t>Forward shipping</t>
  </si>
  <si>
    <t>4203</t>
  </si>
  <si>
    <t>Reverse logistics</t>
  </si>
  <si>
    <t>4204</t>
  </si>
  <si>
    <t>Pick and pack</t>
  </si>
  <si>
    <t>4205</t>
  </si>
  <si>
    <t>Payment gateway and COD fees</t>
  </si>
  <si>
    <t>4206</t>
  </si>
  <si>
    <t>Marketplace commission and fees</t>
  </si>
  <si>
    <t>4207</t>
  </si>
  <si>
    <t>Warranty</t>
  </si>
  <si>
    <t>4301</t>
  </si>
  <si>
    <t>Performance marketing, website</t>
  </si>
  <si>
    <t>Performance marketing</t>
  </si>
  <si>
    <t>4302</t>
  </si>
  <si>
    <t>Marketplace advertising</t>
  </si>
  <si>
    <t>4303</t>
  </si>
  <si>
    <t>Quick commerce advertising</t>
  </si>
  <si>
    <t>5101</t>
  </si>
  <si>
    <t>Salaries, wages and contributions</t>
  </si>
  <si>
    <t>Employee benefits</t>
  </si>
  <si>
    <t>People</t>
  </si>
  <si>
    <t>5201</t>
  </si>
  <si>
    <t>Brand marketing</t>
  </si>
  <si>
    <t>Other fixed costs</t>
  </si>
  <si>
    <t>5202</t>
  </si>
  <si>
    <t>Warehouse rent and running costs</t>
  </si>
  <si>
    <t>5203</t>
  </si>
  <si>
    <t>Office rent</t>
  </si>
  <si>
    <t>5204</t>
  </si>
  <si>
    <t>Technology subscriptions</t>
  </si>
  <si>
    <t>5205</t>
  </si>
  <si>
    <t>Professional fees</t>
  </si>
  <si>
    <t>5206</t>
  </si>
  <si>
    <t>Administration</t>
  </si>
  <si>
    <t>6101</t>
  </si>
  <si>
    <t>Depreciation</t>
  </si>
  <si>
    <t>6201</t>
  </si>
  <si>
    <t>Interest and bank charges</t>
  </si>
  <si>
    <t>Finance costs</t>
  </si>
  <si>
    <t>Statement lines, FY26</t>
  </si>
  <si>
    <t>Statement line</t>
  </si>
  <si>
    <t>As mapped</t>
  </si>
  <si>
    <t>As audited</t>
  </si>
  <si>
    <t>Loss before tax</t>
  </si>
  <si>
    <t>The MIS, FY26</t>
  </si>
  <si>
    <t>MIS line</t>
  </si>
  <si>
    <t>Board pack</t>
  </si>
  <si>
    <t>CM1</t>
  </si>
  <si>
    <t>CM2</t>
  </si>
  <si>
    <t>CM3</t>
  </si>
  <si>
    <t>EBITDA</t>
  </si>
  <si>
    <t>CM1 margin</t>
  </si>
  <si>
    <t>The three checks</t>
  </si>
  <si>
    <t>Trial balance debits at 31 March 2026, after closing</t>
  </si>
  <si>
    <t>Trial balance credits</t>
  </si>
  <si>
    <t>1. The trial balance balances</t>
  </si>
  <si>
    <t>Ledgers' loss before tax</t>
  </si>
  <si>
    <t>2. The statements' loss equals the ledgers' loss</t>
  </si>
  <si>
    <t>Cost of goods from the inventory roll</t>
  </si>
  <si>
    <t>3. Cost of goods ties to the inventory roll</t>
  </si>
  <si>
    <t>Revenue in the books against GSTR-1, FY26, by GSTIN</t>
  </si>
  <si>
    <t>Rows marked base are stripped when the yellow choice says so. Named items are timing, error or exposure; what is left is unexplained.</t>
  </si>
  <si>
    <t>Strip stock transfers before the tie</t>
  </si>
  <si>
    <t>Yes</t>
  </si>
  <si>
    <t>Unexplained-difference threshold</t>
  </si>
  <si>
    <t>GST rate</t>
  </si>
  <si>
    <t>Karnataka GSTIN (Hoskote)</t>
  </si>
  <si>
    <t>Side</t>
  </si>
  <si>
    <t>Item</t>
  </si>
  <si>
    <t>Amount</t>
  </si>
  <si>
    <t>Class</t>
  </si>
  <si>
    <t>Counted</t>
  </si>
  <si>
    <t>Named</t>
  </si>
  <si>
    <t>Month</t>
  </si>
  <si>
    <t>Books</t>
  </si>
  <si>
    <t>Invoices, website</t>
  </si>
  <si>
    <t>matched</t>
  </si>
  <si>
    <t>Invoices, marketplaces</t>
  </si>
  <si>
    <t>Invoices, quick commerce</t>
  </si>
  <si>
    <t>Returns on FY26 sales, credited in FY26</t>
  </si>
  <si>
    <t>Refunds for returns expected after 31 March 2026</t>
  </si>
  <si>
    <t>timing</t>
  </si>
  <si>
    <t>Mar-26</t>
  </si>
  <si>
    <t>GSTR-1</t>
  </si>
  <si>
    <t>B2C supplies, website</t>
  </si>
  <si>
    <t>Supplies through e-commerce operators</t>
  </si>
  <si>
    <t>B2B supplies, quick commerce</t>
  </si>
  <si>
    <t>Credit notes on FY26 sales</t>
  </si>
  <si>
    <t>Credit notes issued in April 2025 for FY25 returns</t>
  </si>
  <si>
    <t>Apr-25</t>
  </si>
  <si>
    <t>Credit notes issued in January 2026 for FY25 price protection</t>
  </si>
  <si>
    <t>exposure</t>
  </si>
  <si>
    <t>Jan-26</t>
  </si>
  <si>
    <t>Stock transfers to the Maharashtra GSTIN</t>
  </si>
  <si>
    <t>base</t>
  </si>
  <si>
    <t>Books total</t>
  </si>
  <si>
    <t>GSTR-1 compared</t>
  </si>
  <si>
    <t>Difference</t>
  </si>
  <si>
    <t>Explained by named items</t>
  </si>
  <si>
    <t>Unexplained</t>
  </si>
  <si>
    <t>Under the threshold</t>
  </si>
  <si>
    <t>Output tax at stake</t>
  </si>
  <si>
    <t>Karnataka GSTIN (Hoskote), by month</t>
  </si>
  <si>
    <t>Matched supplies in the books</t>
  </si>
  <si>
    <t>Operator residue, in its month</t>
  </si>
  <si>
    <t>Nov-25</t>
  </si>
  <si>
    <t>Stock transfers in GSTR-1</t>
  </si>
  <si>
    <t>Seasonality</t>
  </si>
  <si>
    <t>May-25</t>
  </si>
  <si>
    <t>Jun-25</t>
  </si>
  <si>
    <t>Jul-25</t>
  </si>
  <si>
    <t>Aug-25</t>
  </si>
  <si>
    <t>Sep-25</t>
  </si>
  <si>
    <t>Oct-25</t>
  </si>
  <si>
    <t>Dec-25</t>
  </si>
  <si>
    <t>Feb-26</t>
  </si>
  <si>
    <t>The months agree with the year</t>
  </si>
  <si>
    <t>Maharashtra GSTIN (Bhiwandi)</t>
  </si>
  <si>
    <t>Maharashtra GSTIN (Bhiwandi), by month</t>
  </si>
  <si>
    <t>Check</t>
  </si>
  <si>
    <t>Audited FY26 revenue</t>
  </si>
  <si>
    <t>Both GSTINs' books equal audited revenue</t>
  </si>
  <si>
    <t>The credits the portals hold, FY26</t>
  </si>
  <si>
    <t>TCS against GSTR-8 and the cash ledger; 194-O against the AIS; TDS against Form 26Q and the challans, with the section read; input tax credit against GSTR-2B.</t>
  </si>
  <si>
    <t>Section 52 TCS by GSTIN</t>
  </si>
  <si>
    <t>GSTIN</t>
  </si>
  <si>
    <t>In GSTR-8</t>
  </si>
  <si>
    <t>In the books</t>
  </si>
  <si>
    <t>Accepted on the portal</t>
  </si>
  <si>
    <t>Not accepted</t>
  </si>
  <si>
    <t>Karnataka</t>
  </si>
  <si>
    <t>Maharashtra</t>
  </si>
  <si>
    <t>Total</t>
  </si>
  <si>
    <t>194-O by marketplace</t>
  </si>
  <si>
    <t>Marketplace</t>
  </si>
  <si>
    <t>In the AIS</t>
  </si>
  <si>
    <t>In ledger 1505</t>
  </si>
  <si>
    <t>Missing from the books</t>
  </si>
  <si>
    <t>Marketplace A</t>
  </si>
  <si>
    <t>Marketplace B</t>
  </si>
  <si>
    <t>TDS register for Form 26Q: deducted, deposited and reported agree on every line; the section is read against the contract</t>
  </si>
  <si>
    <t>Payee</t>
  </si>
  <si>
    <t>Nature</t>
  </si>
  <si>
    <t>Section</t>
  </si>
  <si>
    <t>Rate</t>
  </si>
  <si>
    <t>Paid</t>
  </si>
  <si>
    <t>TDS</t>
  </si>
  <si>
    <t>Correct section</t>
  </si>
  <si>
    <t>Correct rate</t>
  </si>
  <si>
    <t>Short deducted</t>
  </si>
  <si>
    <t>Logistics partner, website and quick commerce</t>
  </si>
  <si>
    <t>Carriage of goods</t>
  </si>
  <si>
    <t>194C</t>
  </si>
  <si>
    <t>Warehouse manpower contractor</t>
  </si>
  <si>
    <t>Pick and pack under a work contract</t>
  </si>
  <si>
    <t>Growth consultancy</t>
  </si>
  <si>
    <t>Monthly retainer for brand strategy and campaign creative</t>
  </si>
  <si>
    <t>194J</t>
  </si>
  <si>
    <t>Statutory auditor, tax and legal advisers</t>
  </si>
  <si>
    <t>Office landlord, HSR Layout</t>
  </si>
  <si>
    <t>Rent of a building</t>
  </si>
  <si>
    <t>194-I</t>
  </si>
  <si>
    <t>Warehouse landlords, Hoskote and Bhiwandi</t>
  </si>
  <si>
    <t>Input tax credit, Karnataka GSTIN: the books against GSTR-2B, after stripping the blocked credit</t>
  </si>
  <si>
    <t>Goods from the Peenya manufacturer</t>
  </si>
  <si>
    <t>Goods from the Hosur manufacturer</t>
  </si>
  <si>
    <t>Services: logistics, marketing, rent and fees</t>
  </si>
  <si>
    <t>Hosur invoice of 28 March 2026, in the supplier’s April GSTR-1</t>
  </si>
  <si>
    <t>Logistics invoices the supplier never reported</t>
  </si>
  <si>
    <t>A logistics invoice posted twice in the purchase register</t>
  </si>
  <si>
    <t>error</t>
  </si>
  <si>
    <t>GSTR-2B</t>
  </si>
  <si>
    <t>Peenya manufacturer</t>
  </si>
  <si>
    <t>Hosur manufacturer</t>
  </si>
  <si>
    <t>Service suppliers</t>
  </si>
  <si>
    <t>Invoice for March 2025 goods, in April 2025’s 2B</t>
  </si>
  <si>
    <t>GSTR-2B total</t>
  </si>
  <si>
    <t>Blocked credit in 2B, stripped</t>
  </si>
  <si>
    <t>Credit lost to the Section 16(4) date</t>
  </si>
  <si>
    <t>The festive quarter, October to December 2026: revenue to the bank</t>
  </si>
  <si>
    <t>Marketplaces through their settlements; quick commerce through its invoices. The receivable is what separates slow cash from missing cash.</t>
  </si>
  <si>
    <t>Step</t>
  </si>
  <si>
    <t>Marketplaces</t>
  </si>
  <si>
    <t>Quick commerce</t>
  </si>
  <si>
    <t>GST charged</t>
  </si>
  <si>
    <t>Commission, closing and shipping fees</t>
  </si>
  <si>
    <t>GST on the fees</t>
  </si>
  <si>
    <t>TCS under Section 52</t>
  </si>
  <si>
    <t>TDS under Section 393 of the 2025 Act</t>
  </si>
  <si>
    <t>Owed for the quarter</t>
  </si>
  <si>
    <t>Add receivable at 30 September</t>
  </si>
  <si>
    <t>Less receivable at 31 December</t>
  </si>
  <si>
    <t>Receipts the books expect</t>
  </si>
  <si>
    <t>Credits in the bank statements</t>
  </si>
  <si>
    <t>Unexplained before the settlement reports</t>
  </si>
  <si>
    <t>Storage fees in the settlement reports, not booked</t>
  </si>
  <si>
    <t>Payout held against a disputed return claim</t>
  </si>
  <si>
    <t>Unexplained after the settlement reports</t>
  </si>
  <si>
    <t>Assumptions</t>
  </si>
  <si>
    <t>TCS rate, Section 52</t>
  </si>
  <si>
    <t>TDS rate on marketplace sales</t>
  </si>
  <si>
    <t>TDS rate on quick commerce purchases above ₹50 lakh</t>
  </si>
  <si>
    <t>Days still owed at a quarter end</t>
  </si>
  <si>
    <t>Days in the quarter</t>
  </si>
  <si>
    <t>Owed or invoiced with GST, July to September</t>
  </si>
  <si>
    <t>Threshold for the quarter</t>
  </si>
  <si>
    <t>The reconciling-item memo</t>
  </si>
  <si>
    <t>Every item from sheets 02 to 04, with its class. Change a class and the totals and the register count follow.</t>
  </si>
  <si>
    <t>Id</t>
  </si>
  <si>
    <t>Schedule</t>
  </si>
  <si>
    <t>Value</t>
  </si>
  <si>
    <t>At stake</t>
  </si>
  <si>
    <t>Issue</t>
  </si>
  <si>
    <t>M-01</t>
  </si>
  <si>
    <t>M-02</t>
  </si>
  <si>
    <t>M-03</t>
  </si>
  <si>
    <t>FY25 price-protection credit notes issued in January 2026</t>
  </si>
  <si>
    <t>I-01</t>
  </si>
  <si>
    <t>M-04</t>
  </si>
  <si>
    <t>Maharashtra TCS not accepted on the portal</t>
  </si>
  <si>
    <t>I-02</t>
  </si>
  <si>
    <t>M-05</t>
  </si>
  <si>
    <t>194-O from Marketplace B booked as a fee</t>
  </si>
  <si>
    <t>M-06</t>
  </si>
  <si>
    <t>Growth consultancy retainer deducted under 194C</t>
  </si>
  <si>
    <t>I-09</t>
  </si>
  <si>
    <t>M-07</t>
  </si>
  <si>
    <t>Hosur invoice of March 2026 in April’s GSTR-2B</t>
  </si>
  <si>
    <t>M-08</t>
  </si>
  <si>
    <t>March 2025 invoice in April 2025’s GSTR-2B</t>
  </si>
  <si>
    <t>M-09</t>
  </si>
  <si>
    <t>Logistics invoices never reported by the supplier</t>
  </si>
  <si>
    <t>M-10</t>
  </si>
  <si>
    <t>Logistics invoice posted twice</t>
  </si>
  <si>
    <t>M-11</t>
  </si>
  <si>
    <t>November storage fees not booked in the quarter</t>
  </si>
  <si>
    <t>M-12</t>
  </si>
  <si>
    <t>Timing</t>
  </si>
  <si>
    <t>Errors</t>
  </si>
  <si>
    <t>Exposures, reconciling value</t>
  </si>
  <si>
    <t>Tax and credit at stake</t>
  </si>
  <si>
    <t>Items carried to the register</t>
  </si>
  <si>
    <t>Specification for an AI tool</t>
  </si>
  <si>
    <t>Attach this workbook and give the tool the text below. Score its answer against 07_Answer_Check.</t>
  </si>
  <si>
    <t>Company: Kalasu Home Appliances Private Limited, an unlisted Indian private company under Accounting Standards, with GSTINs in Karnataka and Maharashtra. Tie FY26 (audited) and October to December 2026 before the data room opens on 4 January 2027.</t>
  </si>
  <si>
    <t>01_TB_Map: map each profit and loss ledger once to a Schedule III line and an MIS line. Net revenue is revenue from operations, never GMV. Run three checks: the trial balance balances, the statements' loss equals the ledgers' loss, and cost of goods equals the inventory roll.</t>
  </si>
  <si>
    <t>02_Revenue_GST: by GSTIN, strip stock transfers to the other GSTIN from GSTR-1, then name each reconciling item as timing, error or exposure. Unexplained is the difference less the named items; compare it with ₹5 lakh. A credit note issued after 30 November following the year of supply (Section 34(2), CGST Act) cannot reduce output tax: state the tax at 18%.</t>
  </si>
  <si>
    <t>03_Credits: Section 52 TCS in GSTR-8 against the books and the electronic cash ledger; 194-O in the AIS against ledger 1505; the TDS register against Form 26Q and the challans, then each payment's section against its contract (194J at 10% for professional services, 194C at 2% for work contracts); input tax credit against GSTR-2B after stripping blocked credit, with the Section 16(4) date of 30 November 2026.</t>
  </si>
  <si>
    <t>5</t>
  </si>
  <si>
    <t>04_Proof_of_Cash: net revenue plus GST, less fees, GST on fees, TCS and TDS under Section 393 of the Income-tax Act, 2025; add the opening receivable and deduct the closing; compare with bank credits; then apply the lines only the settlement reports show. Never plug the difference.</t>
  </si>
  <si>
    <t>6</t>
  </si>
  <si>
    <t>05_Reconciling_Items: timing reverses in a named later period; an error costs only its correction; an exposure costs tax, interest or a penalty, or a lost credit. Carry principal only; the exposure register computes interest by year and Act.</t>
  </si>
  <si>
    <t>Answer check</t>
  </si>
  <si>
    <t>Course figures against this workbook's formulas. A status of Agrees means the difference is within the tolerance.</t>
  </si>
  <si>
    <t>Figure</t>
  </si>
  <si>
    <t>Course figure</t>
  </si>
  <si>
    <t>This workbook</t>
  </si>
  <si>
    <t>Status</t>
  </si>
  <si>
    <t>Tolerance</t>
  </si>
  <si>
    <t>FY26 revenue from operations</t>
  </si>
  <si>
    <t>CM1 margin as audited</t>
  </si>
  <si>
    <t>CM1 margin with marketplace advertising in cost of goods</t>
  </si>
  <si>
    <t>Karnataka books revenue</t>
  </si>
  <si>
    <t>Karnataka GSTR-1 after stripping transfers</t>
  </si>
  <si>
    <t>Karnataka unexplained difference</t>
  </si>
  <si>
    <t>Maharashtra unexplained difference</t>
  </si>
  <si>
    <t>Output tax on the late credit notes</t>
  </si>
  <si>
    <t>Maharashtra TCS not accepted</t>
  </si>
  <si>
    <t>194-O missing from ledger 1505</t>
  </si>
  <si>
    <t>TDS deducted in Form 26Q</t>
  </si>
  <si>
    <t>TDS short deducted</t>
  </si>
  <si>
    <t>Input tax credit lost</t>
  </si>
  <si>
    <t>Karnataka ITC unexplained difference</t>
  </si>
  <si>
    <t>Marketplace receipts the books expect</t>
  </si>
  <si>
    <t>Marketplace bank credits</t>
  </si>
  <si>
    <t>Marketplace unexplained after the settlement reports</t>
  </si>
  <si>
    <t>Quick commerce receipts the books expect</t>
  </si>
  <si>
    <t>Timing items on the memo</t>
  </si>
  <si>
    <t>Errors on the memo</t>
  </si>
  <si>
    <t>Tax and credit carried to the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</si>
</sst>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quot;-&quot;"/>
    <numFmt numFmtId="165" formatCode="#,##0.00;\(#,##0.00\);&quot;-&quot;"/>
    <numFmt numFmtId="166" formatCode="0.0%;\(0.0%\);&quot;-&quot;"/>
    <numFmt numFmtId="167" formatCode="#,##0;\(#,##0\);&quot;-&quot;"/>
  </numFmts>
  <fonts count="7" x14ac:knownFonts="1">
    <font>
      <sz val="11"/>
      <color theme="1"/>
      <name val="Calibri"/>
      <family val="2"/>
      <scheme val="minor"/>
    </font>
    <font>
      <b/>
      <sz val="14"/>
      <color rgb="FFF3F4F5"/>
      <name val="Arial"/>
    </font>
    <font>
      <sz val="9"/>
      <color rgb="FF41627D"/>
      <name val="Arial"/>
    </font>
    <font>
      <b/>
      <sz val="10"/>
      <color rgb="FF000000"/>
      <name val="Arial"/>
    </font>
    <font>
      <sz val="10"/>
      <color rgb="FF000000"/>
      <name val="Arial"/>
    </font>
    <font>
      <sz val="10"/>
      <color rgb="FF0000FF"/>
      <name val="Arial"/>
    </font>
    <font>
      <sz val="10"/>
      <color rgb="FF008000"/>
      <name val="Arial"/>
    </font>
  </fonts>
  <fills count="5">
    <fill>
      <patternFill patternType="none"/>
    </fill>
    <fill>
      <patternFill patternType="gray125"/>
    </fill>
    <fill>
      <patternFill patternType="solid">
        <fgColor rgb="FF0C0C0F"/>
      </patternFill>
    </fill>
    <fill>
      <patternFill patternType="solid">
        <fgColor rgb="FFFFFF00"/>
      </patternFill>
    </fill>
    <fill>
      <patternFill patternType="solid">
        <fgColor rgb="FFEAEBEE"/>
      </patternFill>
    </fill>
  </fills>
  <borders count="1">
    <border>
      <left/>
      <right/>
      <top/>
      <bottom/>
      <diagonal/>
    </border>
  </borders>
  <cellStyleXfs count="1">
    <xf numFmtId="0" fontId="0" fillId="0" borderId="0"/>
  </cellStyleXfs>
  <cellXfs count="35">
    <xf numFmtId="0" fontId="0" fillId="0" borderId="0" xfId="0"/>
    <xf numFmtId="0" fontId="1" fillId="2" borderId="0" xfId="0" applyFont="1" applyFill="1"/>
    <xf numFmtId="0" fontId="0" fillId="2" borderId="0" xfId="0" applyFill="1"/>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3" borderId="0" xfId="0" applyFont="1" applyFill="1" applyAlignment="1">
      <alignment vertical="top" wrapText="1"/>
    </xf>
    <xf numFmtId="0" fontId="3" fillId="4" borderId="0" xfId="0" applyFont="1" applyFill="1" applyAlignment="1">
      <alignment horizontal="left" vertical="center" wrapText="1"/>
    </xf>
    <xf numFmtId="0" fontId="3" fillId="4" borderId="0" xfId="0" applyFont="1" applyFill="1" applyAlignment="1">
      <alignment horizontal="right" vertical="center" wrapText="1"/>
    </xf>
    <xf numFmtId="0" fontId="5" fillId="0" borderId="0" xfId="0" applyFont="1" applyAlignment="1">
      <alignment horizontal="left"/>
    </xf>
    <xf numFmtId="164" fontId="5" fillId="0" borderId="0" xfId="0" applyNumberFormat="1" applyFont="1" applyAlignment="1">
      <alignment horizontal="right"/>
    </xf>
    <xf numFmtId="0" fontId="4" fillId="0" borderId="0" xfId="0" applyFont="1" applyAlignment="1">
      <alignment horizontal="left"/>
    </xf>
    <xf numFmtId="0" fontId="5" fillId="3" borderId="0" xfId="0" applyFont="1" applyFill="1" applyAlignment="1">
      <alignment horizontal="left"/>
    </xf>
    <xf numFmtId="0" fontId="4" fillId="0" borderId="0" xfId="0" applyFont="1"/>
    <xf numFmtId="165" fontId="4" fillId="0" borderId="0" xfId="0" applyNumberFormat="1" applyFont="1" applyAlignment="1">
      <alignment horizontal="right"/>
    </xf>
    <xf numFmtId="0" fontId="3" fillId="0" borderId="0" xfId="0" applyFont="1" applyAlignment="1">
      <alignment vertical="top" wrapText="1"/>
    </xf>
    <xf numFmtId="165" fontId="3" fillId="0" borderId="0" xfId="0" applyNumberFormat="1" applyFont="1" applyAlignment="1">
      <alignment horizontal="right"/>
    </xf>
    <xf numFmtId="166" fontId="4" fillId="0" borderId="0" xfId="0" applyNumberFormat="1" applyFont="1" applyAlignment="1">
      <alignment horizontal="right"/>
    </xf>
    <xf numFmtId="165" fontId="5" fillId="0" borderId="0" xfId="0" applyNumberFormat="1" applyFont="1" applyAlignment="1">
      <alignment horizontal="right"/>
    </xf>
    <xf numFmtId="166" fontId="5" fillId="0" borderId="0" xfId="0" applyNumberFormat="1" applyFont="1" applyAlignment="1">
      <alignment horizontal="right"/>
    </xf>
    <xf numFmtId="164" fontId="4" fillId="0" borderId="0" xfId="0" applyNumberFormat="1" applyFont="1" applyAlignment="1">
      <alignment horizontal="right"/>
    </xf>
    <xf numFmtId="164" fontId="3" fillId="0" borderId="0" xfId="0" applyNumberFormat="1" applyFont="1" applyAlignment="1">
      <alignment horizontal="right"/>
    </xf>
    <xf numFmtId="2" fontId="5" fillId="0" borderId="0" xfId="0" applyNumberFormat="1" applyFont="1" applyAlignment="1">
      <alignment horizontal="right"/>
    </xf>
    <xf numFmtId="2" fontId="3" fillId="0" borderId="0" xfId="0" applyNumberFormat="1" applyFont="1" applyAlignment="1">
      <alignment horizontal="right"/>
    </xf>
    <xf numFmtId="164" fontId="5" fillId="3" borderId="0" xfId="0" applyNumberFormat="1" applyFont="1" applyFill="1" applyAlignment="1">
      <alignment horizontal="right"/>
    </xf>
    <xf numFmtId="166" fontId="5" fillId="3" borderId="0" xfId="0" applyNumberFormat="1" applyFont="1" applyFill="1" applyAlignment="1">
      <alignment horizontal="right"/>
    </xf>
    <xf numFmtId="167" fontId="5" fillId="0" borderId="0" xfId="0" applyNumberFormat="1" applyFont="1" applyAlignment="1">
      <alignment horizontal="right"/>
    </xf>
    <xf numFmtId="167" fontId="3" fillId="0" borderId="0" xfId="0" applyNumberFormat="1" applyFont="1" applyAlignment="1">
      <alignment horizontal="right"/>
    </xf>
    <xf numFmtId="165" fontId="6" fillId="0" borderId="0" xfId="0" applyNumberFormat="1" applyFont="1" applyAlignment="1">
      <alignment horizontal="right"/>
    </xf>
    <xf numFmtId="0" fontId="3" fillId="0" borderId="0" xfId="0" applyFont="1" applyAlignment="1">
      <alignment horizontal="left"/>
    </xf>
    <xf numFmtId="166" fontId="6" fillId="0" borderId="0" xfId="0" applyNumberFormat="1" applyFont="1" applyAlignment="1">
      <alignment horizontal="right"/>
    </xf>
    <xf numFmtId="164" fontId="6" fillId="0" borderId="0" xfId="0" applyNumberFormat="1" applyFont="1" applyAlignment="1">
      <alignment horizontal="right"/>
    </xf>
    <xf numFmtId="167" fontId="6" fillId="0" borderId="0" xfId="0" applyNumberFormat="1" applyFon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
  <sheetViews>
    <sheetView tabSelected="1" workbookViewId="0"/>
  </sheetViews>
  <sheetFormatPr defaultRowHeight="14.5" x14ac:dyDescent="0.35"/>
  <cols>
    <col min="1" max="1" width="34" customWidth="1"/>
    <col min="2" max="2" width="100" customWidth="1"/>
  </cols>
  <sheetData>
    <row r="1" spans="1:2" ht="24" customHeight="1" x14ac:dyDescent="0.4">
      <c r="A1" s="1" t="s">
        <v>0</v>
      </c>
      <c r="B1" s="2"/>
    </row>
    <row r="2" spans="1:2" x14ac:dyDescent="0.35">
      <c r="A2" s="3" t="s">
        <v>1</v>
      </c>
    </row>
    <row r="4" spans="1:2" x14ac:dyDescent="0.35">
      <c r="A4" s="4" t="s">
        <v>2</v>
      </c>
    </row>
    <row r="5" spans="1:2" x14ac:dyDescent="0.35">
      <c r="A5" s="5" t="s">
        <v>3</v>
      </c>
      <c r="B5" s="5" t="s">
        <v>4</v>
      </c>
    </row>
    <row r="6" spans="1:2" ht="25" x14ac:dyDescent="0.35">
      <c r="A6" s="5" t="s">
        <v>5</v>
      </c>
      <c r="B6" s="5" t="s">
        <v>6</v>
      </c>
    </row>
    <row r="7" spans="1:2" x14ac:dyDescent="0.35">
      <c r="A7" s="5" t="s">
        <v>7</v>
      </c>
      <c r="B7" s="5" t="s">
        <v>8</v>
      </c>
    </row>
    <row r="8" spans="1:2" ht="25" x14ac:dyDescent="0.35">
      <c r="A8" s="5" t="s">
        <v>9</v>
      </c>
      <c r="B8" s="5" t="s">
        <v>10</v>
      </c>
    </row>
    <row r="10" spans="1:2" x14ac:dyDescent="0.35">
      <c r="A10" s="4" t="s">
        <v>11</v>
      </c>
    </row>
    <row r="11" spans="1:2" x14ac:dyDescent="0.35">
      <c r="A11" s="6" t="s">
        <v>12</v>
      </c>
      <c r="B11" s="5" t="s">
        <v>13</v>
      </c>
    </row>
    <row r="12" spans="1:2" x14ac:dyDescent="0.35">
      <c r="A12" s="5" t="s">
        <v>14</v>
      </c>
      <c r="B12" s="5" t="s">
        <v>15</v>
      </c>
    </row>
    <row r="13" spans="1:2" x14ac:dyDescent="0.35">
      <c r="A13" s="7" t="s">
        <v>16</v>
      </c>
      <c r="B13" s="5" t="s">
        <v>17</v>
      </c>
    </row>
    <row r="14" spans="1:2" x14ac:dyDescent="0.35">
      <c r="A14" s="8" t="s">
        <v>18</v>
      </c>
      <c r="B14" s="5" t="s">
        <v>19</v>
      </c>
    </row>
    <row r="16" spans="1:2" x14ac:dyDescent="0.35">
      <c r="A16" s="4" t="s">
        <v>20</v>
      </c>
    </row>
    <row r="17" spans="1:2" x14ac:dyDescent="0.35">
      <c r="A17" s="5" t="s">
        <v>21</v>
      </c>
      <c r="B17" s="5" t="s">
        <v>22</v>
      </c>
    </row>
    <row r="18" spans="1:2" x14ac:dyDescent="0.35">
      <c r="A18" s="5" t="s">
        <v>23</v>
      </c>
      <c r="B18" s="5" t="s">
        <v>24</v>
      </c>
    </row>
    <row r="19" spans="1:2" x14ac:dyDescent="0.35">
      <c r="A19" s="5" t="s">
        <v>25</v>
      </c>
      <c r="B19" s="5" t="s">
        <v>26</v>
      </c>
    </row>
    <row r="20" spans="1:2" x14ac:dyDescent="0.35">
      <c r="A20" s="5" t="s">
        <v>27</v>
      </c>
      <c r="B20" s="5" t="s">
        <v>28</v>
      </c>
    </row>
    <row r="21" spans="1:2" x14ac:dyDescent="0.35">
      <c r="A21" s="5" t="s">
        <v>29</v>
      </c>
      <c r="B21" s="5" t="s">
        <v>30</v>
      </c>
    </row>
    <row r="22" spans="1:2" x14ac:dyDescent="0.35">
      <c r="A22" s="5" t="s">
        <v>31</v>
      </c>
      <c r="B22" s="5" t="s">
        <v>32</v>
      </c>
    </row>
    <row r="23" spans="1:2" x14ac:dyDescent="0.35">
      <c r="A23" s="5" t="s">
        <v>33</v>
      </c>
      <c r="B23" s="5" t="s">
        <v>34</v>
      </c>
    </row>
    <row r="25" spans="1:2" x14ac:dyDescent="0.35">
      <c r="A25" s="4" t="s">
        <v>35</v>
      </c>
    </row>
    <row r="26" spans="1:2" x14ac:dyDescent="0.35">
      <c r="A26" s="5" t="s">
        <v>36</v>
      </c>
      <c r="B26" s="5" t="s">
        <v>37</v>
      </c>
    </row>
    <row r="27" spans="1:2" x14ac:dyDescent="0.35">
      <c r="A27" s="5" t="s">
        <v>38</v>
      </c>
      <c r="B27" s="5" t="s">
        <v>39</v>
      </c>
    </row>
    <row r="28" spans="1:2" x14ac:dyDescent="0.35">
      <c r="A28" s="5" t="s">
        <v>40</v>
      </c>
      <c r="B28" s="5" t="s">
        <v>41</v>
      </c>
    </row>
    <row r="29" spans="1:2" x14ac:dyDescent="0.35">
      <c r="A29" s="5" t="s">
        <v>42</v>
      </c>
      <c r="B29" s="5" t="s">
        <v>43</v>
      </c>
    </row>
    <row r="30" spans="1:2" x14ac:dyDescent="0.35">
      <c r="A30" s="5" t="s">
        <v>44</v>
      </c>
      <c r="B30" s="5" t="s">
        <v>45</v>
      </c>
    </row>
    <row r="31" spans="1:2" x14ac:dyDescent="0.35">
      <c r="A31" s="5" t="s">
        <v>46</v>
      </c>
      <c r="B31" s="5" t="s">
        <v>47</v>
      </c>
    </row>
    <row r="32" spans="1:2" x14ac:dyDescent="0.35">
      <c r="A32" s="5" t="s">
        <v>48</v>
      </c>
      <c r="B32" s="5" t="s">
        <v>49</v>
      </c>
    </row>
    <row r="33" spans="1:2" x14ac:dyDescent="0.35">
      <c r="A33" s="5" t="s">
        <v>50</v>
      </c>
      <c r="B33" s="5" t="s">
        <v>51</v>
      </c>
    </row>
    <row r="34" spans="1:2" x14ac:dyDescent="0.35">
      <c r="A34" s="5" t="s">
        <v>52</v>
      </c>
      <c r="B34" s="5" t="s">
        <v>53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5"/>
  <sheetViews>
    <sheetView workbookViewId="0"/>
  </sheetViews>
  <sheetFormatPr defaultRowHeight="14.5" x14ac:dyDescent="0.35"/>
  <cols>
    <col min="1" max="1" width="12" customWidth="1"/>
    <col min="2" max="2" width="42" customWidth="1"/>
    <col min="3" max="3" width="14" customWidth="1"/>
    <col min="4" max="4" width="30" customWidth="1"/>
    <col min="5" max="6" width="24" customWidth="1"/>
    <col min="7" max="7" width="30" customWidth="1"/>
  </cols>
  <sheetData>
    <row r="1" spans="1:7" ht="24" customHeight="1" x14ac:dyDescent="0.4">
      <c r="A1" s="1" t="s">
        <v>54</v>
      </c>
      <c r="B1" s="2"/>
      <c r="C1" s="2"/>
      <c r="D1" s="2"/>
      <c r="E1" s="2"/>
      <c r="F1" s="2"/>
      <c r="G1" s="2"/>
    </row>
    <row r="2" spans="1:7" x14ac:dyDescent="0.35">
      <c r="A2" s="3" t="s">
        <v>55</v>
      </c>
    </row>
    <row r="4" spans="1:7" x14ac:dyDescent="0.35">
      <c r="A4" s="9" t="s">
        <v>56</v>
      </c>
      <c r="B4" s="10" t="s">
        <v>57</v>
      </c>
      <c r="C4" s="10" t="s">
        <v>58</v>
      </c>
      <c r="D4" s="10" t="s">
        <v>59</v>
      </c>
      <c r="E4" s="10" t="s">
        <v>60</v>
      </c>
      <c r="F4" s="10" t="s">
        <v>61</v>
      </c>
      <c r="G4" s="10" t="s">
        <v>62</v>
      </c>
    </row>
    <row r="5" spans="1:7" x14ac:dyDescent="0.35">
      <c r="A5" s="11" t="s">
        <v>63</v>
      </c>
      <c r="B5" s="5" t="s">
        <v>64</v>
      </c>
      <c r="C5" s="12">
        <v>12.75</v>
      </c>
      <c r="D5" s="11" t="s">
        <v>65</v>
      </c>
      <c r="E5" s="11" t="s">
        <v>66</v>
      </c>
      <c r="F5" s="13" t="str">
        <f t="shared" ref="F5:F20" si="0">E5</f>
        <v>Net revenue</v>
      </c>
      <c r="G5" s="13" t="str">
        <f t="shared" ref="G5:G31" si="1">IF(AND(F5="Cost of goods",E5&lt;&gt;"Cost of goods"),"Purchases and change in stock",D5)</f>
        <v>Revenue from operations</v>
      </c>
    </row>
    <row r="6" spans="1:7" x14ac:dyDescent="0.35">
      <c r="A6" s="11" t="s">
        <v>67</v>
      </c>
      <c r="B6" s="5" t="s">
        <v>68</v>
      </c>
      <c r="C6" s="12">
        <v>16.2</v>
      </c>
      <c r="D6" s="11" t="s">
        <v>65</v>
      </c>
      <c r="E6" s="11" t="s">
        <v>66</v>
      </c>
      <c r="F6" s="13" t="str">
        <f t="shared" si="0"/>
        <v>Net revenue</v>
      </c>
      <c r="G6" s="13" t="str">
        <f t="shared" si="1"/>
        <v>Revenue from operations</v>
      </c>
    </row>
    <row r="7" spans="1:7" x14ac:dyDescent="0.35">
      <c r="A7" s="11" t="s">
        <v>69</v>
      </c>
      <c r="B7" s="5" t="s">
        <v>70</v>
      </c>
      <c r="C7" s="12">
        <v>4.59</v>
      </c>
      <c r="D7" s="11" t="s">
        <v>65</v>
      </c>
      <c r="E7" s="11" t="s">
        <v>66</v>
      </c>
      <c r="F7" s="13" t="str">
        <f t="shared" si="0"/>
        <v>Net revenue</v>
      </c>
      <c r="G7" s="13" t="str">
        <f t="shared" si="1"/>
        <v>Revenue from operations</v>
      </c>
    </row>
    <row r="8" spans="1:7" x14ac:dyDescent="0.35">
      <c r="A8" s="11" t="s">
        <v>71</v>
      </c>
      <c r="B8" s="5" t="s">
        <v>72</v>
      </c>
      <c r="C8" s="12">
        <v>-0.75</v>
      </c>
      <c r="D8" s="11" t="s">
        <v>65</v>
      </c>
      <c r="E8" s="11" t="s">
        <v>66</v>
      </c>
      <c r="F8" s="13" t="str">
        <f t="shared" si="0"/>
        <v>Net revenue</v>
      </c>
      <c r="G8" s="13" t="str">
        <f t="shared" si="1"/>
        <v>Revenue from operations</v>
      </c>
    </row>
    <row r="9" spans="1:7" x14ac:dyDescent="0.35">
      <c r="A9" s="11" t="s">
        <v>73</v>
      </c>
      <c r="B9" s="5" t="s">
        <v>74</v>
      </c>
      <c r="C9" s="12">
        <v>-2.7</v>
      </c>
      <c r="D9" s="11" t="s">
        <v>65</v>
      </c>
      <c r="E9" s="11" t="s">
        <v>66</v>
      </c>
      <c r="F9" s="13" t="str">
        <f t="shared" si="0"/>
        <v>Net revenue</v>
      </c>
      <c r="G9" s="13" t="str">
        <f t="shared" si="1"/>
        <v>Revenue from operations</v>
      </c>
    </row>
    <row r="10" spans="1:7" x14ac:dyDescent="0.35">
      <c r="A10" s="11" t="s">
        <v>75</v>
      </c>
      <c r="B10" s="5" t="s">
        <v>76</v>
      </c>
      <c r="C10" s="12">
        <v>-0.09</v>
      </c>
      <c r="D10" s="11" t="s">
        <v>65</v>
      </c>
      <c r="E10" s="11" t="s">
        <v>66</v>
      </c>
      <c r="F10" s="13" t="str">
        <f t="shared" si="0"/>
        <v>Net revenue</v>
      </c>
      <c r="G10" s="13" t="str">
        <f t="shared" si="1"/>
        <v>Revenue from operations</v>
      </c>
    </row>
    <row r="11" spans="1:7" x14ac:dyDescent="0.35">
      <c r="A11" s="11" t="s">
        <v>77</v>
      </c>
      <c r="B11" s="5" t="s">
        <v>78</v>
      </c>
      <c r="C11" s="12">
        <v>1.602865</v>
      </c>
      <c r="D11" s="11" t="s">
        <v>79</v>
      </c>
      <c r="E11" s="11" t="s">
        <v>80</v>
      </c>
      <c r="F11" s="13" t="str">
        <f t="shared" si="0"/>
        <v>Below EBITDA</v>
      </c>
      <c r="G11" s="13" t="str">
        <f t="shared" si="1"/>
        <v>Other income</v>
      </c>
    </row>
    <row r="12" spans="1:7" x14ac:dyDescent="0.35">
      <c r="A12" s="11" t="s">
        <v>81</v>
      </c>
      <c r="B12" s="5" t="s">
        <v>82</v>
      </c>
      <c r="C12" s="12">
        <v>13.8</v>
      </c>
      <c r="D12" s="11" t="s">
        <v>83</v>
      </c>
      <c r="E12" s="11" t="s">
        <v>84</v>
      </c>
      <c r="F12" s="13" t="str">
        <f t="shared" si="0"/>
        <v>Cost of goods</v>
      </c>
      <c r="G12" s="13" t="str">
        <f t="shared" si="1"/>
        <v>Purchases and change in stock</v>
      </c>
    </row>
    <row r="13" spans="1:7" x14ac:dyDescent="0.35">
      <c r="A13" s="11" t="s">
        <v>85</v>
      </c>
      <c r="B13" s="5" t="s">
        <v>86</v>
      </c>
      <c r="C13" s="12">
        <v>0.64349999999999996</v>
      </c>
      <c r="D13" s="11" t="s">
        <v>87</v>
      </c>
      <c r="E13" s="11" t="s">
        <v>88</v>
      </c>
      <c r="F13" s="13" t="str">
        <f t="shared" si="0"/>
        <v>Fulfilment</v>
      </c>
      <c r="G13" s="13" t="str">
        <f t="shared" si="1"/>
        <v>Other expenses</v>
      </c>
    </row>
    <row r="14" spans="1:7" x14ac:dyDescent="0.35">
      <c r="A14" s="11" t="s">
        <v>89</v>
      </c>
      <c r="B14" s="5" t="s">
        <v>90</v>
      </c>
      <c r="C14" s="12">
        <v>1.625</v>
      </c>
      <c r="D14" s="11" t="s">
        <v>87</v>
      </c>
      <c r="E14" s="11" t="s">
        <v>88</v>
      </c>
      <c r="F14" s="13" t="str">
        <f t="shared" si="0"/>
        <v>Fulfilment</v>
      </c>
      <c r="G14" s="13" t="str">
        <f t="shared" si="1"/>
        <v>Other expenses</v>
      </c>
    </row>
    <row r="15" spans="1:7" x14ac:dyDescent="0.35">
      <c r="A15" s="11" t="s">
        <v>91</v>
      </c>
      <c r="B15" s="5" t="s">
        <v>92</v>
      </c>
      <c r="C15" s="12">
        <v>0.252</v>
      </c>
      <c r="D15" s="11" t="s">
        <v>87</v>
      </c>
      <c r="E15" s="11" t="s">
        <v>88</v>
      </c>
      <c r="F15" s="13" t="str">
        <f t="shared" si="0"/>
        <v>Fulfilment</v>
      </c>
      <c r="G15" s="13" t="str">
        <f t="shared" si="1"/>
        <v>Other expenses</v>
      </c>
    </row>
    <row r="16" spans="1:7" x14ac:dyDescent="0.35">
      <c r="A16" s="11" t="s">
        <v>93</v>
      </c>
      <c r="B16" s="5" t="s">
        <v>94</v>
      </c>
      <c r="C16" s="12">
        <v>0.43162499999999998</v>
      </c>
      <c r="D16" s="11" t="s">
        <v>87</v>
      </c>
      <c r="E16" s="11" t="s">
        <v>88</v>
      </c>
      <c r="F16" s="13" t="str">
        <f t="shared" si="0"/>
        <v>Fulfilment</v>
      </c>
      <c r="G16" s="13" t="str">
        <f t="shared" si="1"/>
        <v>Other expenses</v>
      </c>
    </row>
    <row r="17" spans="1:7" x14ac:dyDescent="0.35">
      <c r="A17" s="11" t="s">
        <v>95</v>
      </c>
      <c r="B17" s="5" t="s">
        <v>96</v>
      </c>
      <c r="C17" s="12">
        <v>0.26554</v>
      </c>
      <c r="D17" s="11" t="s">
        <v>87</v>
      </c>
      <c r="E17" s="11" t="s">
        <v>88</v>
      </c>
      <c r="F17" s="13" t="str">
        <f t="shared" si="0"/>
        <v>Fulfilment</v>
      </c>
      <c r="G17" s="13" t="str">
        <f t="shared" si="1"/>
        <v>Other expenses</v>
      </c>
    </row>
    <row r="18" spans="1:7" x14ac:dyDescent="0.35">
      <c r="A18" s="11" t="s">
        <v>97</v>
      </c>
      <c r="B18" s="5" t="s">
        <v>98</v>
      </c>
      <c r="C18" s="12">
        <v>2.410200000000001</v>
      </c>
      <c r="D18" s="11" t="s">
        <v>87</v>
      </c>
      <c r="E18" s="11" t="s">
        <v>88</v>
      </c>
      <c r="F18" s="13" t="str">
        <f t="shared" si="0"/>
        <v>Fulfilment</v>
      </c>
      <c r="G18" s="13" t="str">
        <f t="shared" si="1"/>
        <v>Other expenses</v>
      </c>
    </row>
    <row r="19" spans="1:7" x14ac:dyDescent="0.35">
      <c r="A19" s="11" t="s">
        <v>99</v>
      </c>
      <c r="B19" s="5" t="s">
        <v>100</v>
      </c>
      <c r="C19" s="12">
        <v>0.40500000000000003</v>
      </c>
      <c r="D19" s="11" t="s">
        <v>87</v>
      </c>
      <c r="E19" s="11" t="s">
        <v>88</v>
      </c>
      <c r="F19" s="13" t="str">
        <f t="shared" si="0"/>
        <v>Fulfilment</v>
      </c>
      <c r="G19" s="13" t="str">
        <f t="shared" si="1"/>
        <v>Other expenses</v>
      </c>
    </row>
    <row r="20" spans="1:7" x14ac:dyDescent="0.35">
      <c r="A20" s="11" t="s">
        <v>101</v>
      </c>
      <c r="B20" s="5" t="s">
        <v>102</v>
      </c>
      <c r="C20" s="12">
        <v>4.8</v>
      </c>
      <c r="D20" s="11" t="s">
        <v>87</v>
      </c>
      <c r="E20" s="11" t="s">
        <v>103</v>
      </c>
      <c r="F20" s="13" t="str">
        <f t="shared" si="0"/>
        <v>Performance marketing</v>
      </c>
      <c r="G20" s="13" t="str">
        <f t="shared" si="1"/>
        <v>Other expenses</v>
      </c>
    </row>
    <row r="21" spans="1:7" x14ac:dyDescent="0.35">
      <c r="A21" s="11" t="s">
        <v>104</v>
      </c>
      <c r="B21" s="5" t="s">
        <v>105</v>
      </c>
      <c r="C21" s="12">
        <v>1.62</v>
      </c>
      <c r="D21" s="11" t="s">
        <v>87</v>
      </c>
      <c r="E21" s="11" t="s">
        <v>103</v>
      </c>
      <c r="F21" s="14" t="s">
        <v>84</v>
      </c>
      <c r="G21" s="13" t="str">
        <f t="shared" si="1"/>
        <v>Purchases and change in stock</v>
      </c>
    </row>
    <row r="22" spans="1:7" x14ac:dyDescent="0.35">
      <c r="A22" s="11" t="s">
        <v>106</v>
      </c>
      <c r="B22" s="5" t="s">
        <v>107</v>
      </c>
      <c r="C22" s="12">
        <v>0.36</v>
      </c>
      <c r="D22" s="11" t="s">
        <v>87</v>
      </c>
      <c r="E22" s="11" t="s">
        <v>103</v>
      </c>
      <c r="F22" s="13" t="str">
        <f t="shared" ref="F22:F31" si="2">E22</f>
        <v>Performance marketing</v>
      </c>
      <c r="G22" s="13" t="str">
        <f t="shared" si="1"/>
        <v>Other expenses</v>
      </c>
    </row>
    <row r="23" spans="1:7" x14ac:dyDescent="0.35">
      <c r="A23" s="11" t="s">
        <v>108</v>
      </c>
      <c r="B23" s="5" t="s">
        <v>109</v>
      </c>
      <c r="C23" s="12">
        <v>5.4</v>
      </c>
      <c r="D23" s="11" t="s">
        <v>110</v>
      </c>
      <c r="E23" s="11" t="s">
        <v>111</v>
      </c>
      <c r="F23" s="13" t="str">
        <f t="shared" si="2"/>
        <v>People</v>
      </c>
      <c r="G23" s="13" t="str">
        <f t="shared" si="1"/>
        <v>Employee benefits</v>
      </c>
    </row>
    <row r="24" spans="1:7" x14ac:dyDescent="0.35">
      <c r="A24" s="11" t="s">
        <v>112</v>
      </c>
      <c r="B24" s="5" t="s">
        <v>113</v>
      </c>
      <c r="C24" s="12">
        <v>0.9</v>
      </c>
      <c r="D24" s="11" t="s">
        <v>87</v>
      </c>
      <c r="E24" s="11" t="s">
        <v>114</v>
      </c>
      <c r="F24" s="13" t="str">
        <f t="shared" si="2"/>
        <v>Other fixed costs</v>
      </c>
      <c r="G24" s="13" t="str">
        <f t="shared" si="1"/>
        <v>Other expenses</v>
      </c>
    </row>
    <row r="25" spans="1:7" x14ac:dyDescent="0.35">
      <c r="A25" s="11" t="s">
        <v>115</v>
      </c>
      <c r="B25" s="5" t="s">
        <v>116</v>
      </c>
      <c r="C25" s="12">
        <v>0.36</v>
      </c>
      <c r="D25" s="11" t="s">
        <v>87</v>
      </c>
      <c r="E25" s="11" t="s">
        <v>114</v>
      </c>
      <c r="F25" s="13" t="str">
        <f t="shared" si="2"/>
        <v>Other fixed costs</v>
      </c>
      <c r="G25" s="13" t="str">
        <f t="shared" si="1"/>
        <v>Other expenses</v>
      </c>
    </row>
    <row r="26" spans="1:7" x14ac:dyDescent="0.35">
      <c r="A26" s="11" t="s">
        <v>117</v>
      </c>
      <c r="B26" s="5" t="s">
        <v>118</v>
      </c>
      <c r="C26" s="12">
        <v>0.3</v>
      </c>
      <c r="D26" s="11" t="s">
        <v>87</v>
      </c>
      <c r="E26" s="11" t="s">
        <v>114</v>
      </c>
      <c r="F26" s="13" t="str">
        <f t="shared" si="2"/>
        <v>Other fixed costs</v>
      </c>
      <c r="G26" s="13" t="str">
        <f t="shared" si="1"/>
        <v>Other expenses</v>
      </c>
    </row>
    <row r="27" spans="1:7" x14ac:dyDescent="0.35">
      <c r="A27" s="11" t="s">
        <v>119</v>
      </c>
      <c r="B27" s="5" t="s">
        <v>120</v>
      </c>
      <c r="C27" s="12">
        <v>0.3</v>
      </c>
      <c r="D27" s="11" t="s">
        <v>87</v>
      </c>
      <c r="E27" s="11" t="s">
        <v>114</v>
      </c>
      <c r="F27" s="13" t="str">
        <f t="shared" si="2"/>
        <v>Other fixed costs</v>
      </c>
      <c r="G27" s="13" t="str">
        <f t="shared" si="1"/>
        <v>Other expenses</v>
      </c>
    </row>
    <row r="28" spans="1:7" x14ac:dyDescent="0.35">
      <c r="A28" s="11" t="s">
        <v>121</v>
      </c>
      <c r="B28" s="5" t="s">
        <v>122</v>
      </c>
      <c r="C28" s="12">
        <v>0.36</v>
      </c>
      <c r="D28" s="11" t="s">
        <v>87</v>
      </c>
      <c r="E28" s="11" t="s">
        <v>114</v>
      </c>
      <c r="F28" s="13" t="str">
        <f t="shared" si="2"/>
        <v>Other fixed costs</v>
      </c>
      <c r="G28" s="13" t="str">
        <f t="shared" si="1"/>
        <v>Other expenses</v>
      </c>
    </row>
    <row r="29" spans="1:7" x14ac:dyDescent="0.35">
      <c r="A29" s="11" t="s">
        <v>123</v>
      </c>
      <c r="B29" s="5" t="s">
        <v>124</v>
      </c>
      <c r="C29" s="12">
        <v>0.3</v>
      </c>
      <c r="D29" s="11" t="s">
        <v>87</v>
      </c>
      <c r="E29" s="11" t="s">
        <v>114</v>
      </c>
      <c r="F29" s="13" t="str">
        <f t="shared" si="2"/>
        <v>Other fixed costs</v>
      </c>
      <c r="G29" s="13" t="str">
        <f t="shared" si="1"/>
        <v>Other expenses</v>
      </c>
    </row>
    <row r="30" spans="1:7" x14ac:dyDescent="0.35">
      <c r="A30" s="11" t="s">
        <v>125</v>
      </c>
      <c r="B30" s="5" t="s">
        <v>126</v>
      </c>
      <c r="C30" s="12">
        <v>0.3</v>
      </c>
      <c r="D30" s="11" t="s">
        <v>126</v>
      </c>
      <c r="E30" s="11" t="s">
        <v>80</v>
      </c>
      <c r="F30" s="13" t="str">
        <f t="shared" si="2"/>
        <v>Below EBITDA</v>
      </c>
      <c r="G30" s="13" t="str">
        <f t="shared" si="1"/>
        <v>Depreciation</v>
      </c>
    </row>
    <row r="31" spans="1:7" x14ac:dyDescent="0.35">
      <c r="A31" s="11" t="s">
        <v>127</v>
      </c>
      <c r="B31" s="5" t="s">
        <v>128</v>
      </c>
      <c r="C31" s="12">
        <v>0.04</v>
      </c>
      <c r="D31" s="11" t="s">
        <v>129</v>
      </c>
      <c r="E31" s="11" t="s">
        <v>80</v>
      </c>
      <c r="F31" s="13" t="str">
        <f t="shared" si="2"/>
        <v>Below EBITDA</v>
      </c>
      <c r="G31" s="13" t="str">
        <f t="shared" si="1"/>
        <v>Finance costs</v>
      </c>
    </row>
    <row r="33" spans="1:4" x14ac:dyDescent="0.35">
      <c r="A33" s="4" t="s">
        <v>130</v>
      </c>
    </row>
    <row r="34" spans="1:4" ht="26" x14ac:dyDescent="0.35">
      <c r="A34" s="9" t="s">
        <v>131</v>
      </c>
      <c r="B34" s="10"/>
      <c r="C34" s="10" t="s">
        <v>132</v>
      </c>
      <c r="D34" s="10" t="s">
        <v>133</v>
      </c>
    </row>
    <row r="35" spans="1:4" x14ac:dyDescent="0.35">
      <c r="A35" s="15" t="s">
        <v>65</v>
      </c>
      <c r="C35" s="16">
        <f t="shared" ref="C35:C41" si="3">SUMIFS($C$5:$C$31,$G$5:$G$31,A35)</f>
        <v>30</v>
      </c>
      <c r="D35" s="16">
        <f t="shared" ref="D35:D41" si="4">SUMIFS($C$5:$C$31,$D$5:$D$31,A35)</f>
        <v>30</v>
      </c>
    </row>
    <row r="36" spans="1:4" x14ac:dyDescent="0.35">
      <c r="A36" s="5" t="s">
        <v>79</v>
      </c>
      <c r="C36" s="16">
        <f t="shared" si="3"/>
        <v>1.602865</v>
      </c>
      <c r="D36" s="16">
        <f t="shared" si="4"/>
        <v>1.602865</v>
      </c>
    </row>
    <row r="37" spans="1:4" ht="37.5" x14ac:dyDescent="0.35">
      <c r="A37" s="5" t="s">
        <v>83</v>
      </c>
      <c r="C37" s="16">
        <f t="shared" si="3"/>
        <v>15.420000000000002</v>
      </c>
      <c r="D37" s="16">
        <f t="shared" si="4"/>
        <v>13.8</v>
      </c>
    </row>
    <row r="38" spans="1:4" ht="25" x14ac:dyDescent="0.35">
      <c r="A38" s="5" t="s">
        <v>110</v>
      </c>
      <c r="C38" s="16">
        <f t="shared" si="3"/>
        <v>5.4</v>
      </c>
      <c r="D38" s="16">
        <f t="shared" si="4"/>
        <v>5.4</v>
      </c>
    </row>
    <row r="39" spans="1:4" ht="25" x14ac:dyDescent="0.35">
      <c r="A39" s="5" t="s">
        <v>87</v>
      </c>
      <c r="C39" s="16">
        <f t="shared" si="3"/>
        <v>13.712865000000003</v>
      </c>
      <c r="D39" s="16">
        <f t="shared" si="4"/>
        <v>15.332865000000004</v>
      </c>
    </row>
    <row r="40" spans="1:4" x14ac:dyDescent="0.35">
      <c r="A40" s="5" t="s">
        <v>126</v>
      </c>
      <c r="C40" s="16">
        <f t="shared" si="3"/>
        <v>0.3</v>
      </c>
      <c r="D40" s="16">
        <f t="shared" si="4"/>
        <v>0.3</v>
      </c>
    </row>
    <row r="41" spans="1:4" x14ac:dyDescent="0.35">
      <c r="A41" s="5" t="s">
        <v>129</v>
      </c>
      <c r="C41" s="16">
        <f t="shared" si="3"/>
        <v>0.04</v>
      </c>
      <c r="D41" s="16">
        <f t="shared" si="4"/>
        <v>0.04</v>
      </c>
    </row>
    <row r="42" spans="1:4" ht="26" x14ac:dyDescent="0.35">
      <c r="A42" s="17" t="s">
        <v>134</v>
      </c>
      <c r="C42" s="18">
        <f>C35+C36-SUM(C37:C41)</f>
        <v>-3.269999999999996</v>
      </c>
      <c r="D42" s="18">
        <f>D35+D36-SUM(D37:D41)</f>
        <v>-3.2700000000000031</v>
      </c>
    </row>
    <row r="44" spans="1:4" x14ac:dyDescent="0.35">
      <c r="A44" s="4" t="s">
        <v>135</v>
      </c>
    </row>
    <row r="45" spans="1:4" x14ac:dyDescent="0.35">
      <c r="A45" s="9" t="s">
        <v>136</v>
      </c>
      <c r="B45" s="10"/>
      <c r="C45" s="10" t="s">
        <v>132</v>
      </c>
      <c r="D45" s="10" t="s">
        <v>137</v>
      </c>
    </row>
    <row r="46" spans="1:4" x14ac:dyDescent="0.35">
      <c r="A46" s="5" t="s">
        <v>66</v>
      </c>
      <c r="C46" s="16">
        <f>SUMIFS($C$5:$C$31,$F$5:$F$31,"Net revenue")</f>
        <v>30</v>
      </c>
      <c r="D46" s="16">
        <f>SUMIFS($C$5:$C$31,$E$5:$E$31,"Net revenue")</f>
        <v>30</v>
      </c>
    </row>
    <row r="47" spans="1:4" ht="25" x14ac:dyDescent="0.35">
      <c r="A47" s="5" t="s">
        <v>84</v>
      </c>
      <c r="C47" s="16">
        <f>SUMIFS($C$5:$C$31,$F$5:$F$31,"Cost of goods")</f>
        <v>15.420000000000002</v>
      </c>
      <c r="D47" s="16">
        <f>SUMIFS($C$5:$C$31,$E$5:$E$31,"Cost of goods")</f>
        <v>13.8</v>
      </c>
    </row>
    <row r="48" spans="1:4" x14ac:dyDescent="0.35">
      <c r="A48" s="17" t="s">
        <v>138</v>
      </c>
      <c r="C48" s="18">
        <f>C46-C47</f>
        <v>14.579999999999998</v>
      </c>
      <c r="D48" s="18">
        <f>D46-D47</f>
        <v>16.2</v>
      </c>
    </row>
    <row r="49" spans="1:4" x14ac:dyDescent="0.35">
      <c r="A49" s="5" t="s">
        <v>88</v>
      </c>
      <c r="C49" s="16">
        <f>SUMIFS($C$5:$C$31,$F$5:$F$31,"Fulfilment")</f>
        <v>6.0328650000000019</v>
      </c>
      <c r="D49" s="16">
        <f>SUMIFS($C$5:$C$31,$E$5:$E$31,"Fulfilment")</f>
        <v>6.0328650000000019</v>
      </c>
    </row>
    <row r="50" spans="1:4" x14ac:dyDescent="0.35">
      <c r="A50" s="17" t="s">
        <v>139</v>
      </c>
      <c r="C50" s="18">
        <f>C48-C49</f>
        <v>8.5471349999999973</v>
      </c>
      <c r="D50" s="18">
        <f>D48-D49</f>
        <v>10.167134999999998</v>
      </c>
    </row>
    <row r="51" spans="1:4" ht="25" x14ac:dyDescent="0.35">
      <c r="A51" s="5" t="s">
        <v>103</v>
      </c>
      <c r="C51" s="16">
        <f>SUMIFS($C$5:$C$31,$F$5:$F$31,"Performance marketing")</f>
        <v>5.16</v>
      </c>
      <c r="D51" s="16">
        <f>SUMIFS($C$5:$C$31,$E$5:$E$31,"Performance marketing")</f>
        <v>6.78</v>
      </c>
    </row>
    <row r="52" spans="1:4" x14ac:dyDescent="0.35">
      <c r="A52" s="17" t="s">
        <v>140</v>
      </c>
      <c r="C52" s="18">
        <f>C50-C51</f>
        <v>3.3871349999999971</v>
      </c>
      <c r="D52" s="18">
        <f>D50-D51</f>
        <v>3.387134999999998</v>
      </c>
    </row>
    <row r="53" spans="1:4" x14ac:dyDescent="0.35">
      <c r="A53" s="5" t="s">
        <v>111</v>
      </c>
      <c r="C53" s="16">
        <f>SUMIFS($C$5:$C$31,$F$5:$F$31,"People")</f>
        <v>5.4</v>
      </c>
      <c r="D53" s="16">
        <f>SUMIFS($C$5:$C$31,$E$5:$E$31,"People")</f>
        <v>5.4</v>
      </c>
    </row>
    <row r="54" spans="1:4" ht="25" x14ac:dyDescent="0.35">
      <c r="A54" s="5" t="s">
        <v>114</v>
      </c>
      <c r="C54" s="16">
        <f>SUMIFS($C$5:$C$31,$F$5:$F$31,"Other fixed costs")</f>
        <v>2.52</v>
      </c>
      <c r="D54" s="16">
        <f>SUMIFS($C$5:$C$31,$E$5:$E$31,"Other fixed costs")</f>
        <v>2.52</v>
      </c>
    </row>
    <row r="55" spans="1:4" x14ac:dyDescent="0.35">
      <c r="A55" s="17" t="s">
        <v>141</v>
      </c>
      <c r="C55" s="18">
        <f>C52-C53-C54</f>
        <v>-4.5328650000000028</v>
      </c>
      <c r="D55" s="18">
        <f>D52-D53-D54</f>
        <v>-4.5328650000000028</v>
      </c>
    </row>
    <row r="56" spans="1:4" x14ac:dyDescent="0.35">
      <c r="A56" s="5" t="s">
        <v>142</v>
      </c>
      <c r="C56" s="19">
        <f>C48/C46</f>
        <v>0.48599999999999993</v>
      </c>
      <c r="D56" s="19">
        <f>D48/D46</f>
        <v>0.53999999999999992</v>
      </c>
    </row>
    <row r="58" spans="1:4" x14ac:dyDescent="0.35">
      <c r="A58" s="4" t="s">
        <v>143</v>
      </c>
    </row>
    <row r="59" spans="1:4" ht="50" x14ac:dyDescent="0.35">
      <c r="A59" s="5" t="s">
        <v>144</v>
      </c>
      <c r="C59" s="20">
        <v>51.66</v>
      </c>
    </row>
    <row r="60" spans="1:4" ht="25" x14ac:dyDescent="0.35">
      <c r="A60" s="5" t="s">
        <v>145</v>
      </c>
      <c r="C60" s="20">
        <v>51.66</v>
      </c>
    </row>
    <row r="61" spans="1:4" ht="37.5" x14ac:dyDescent="0.35">
      <c r="A61" s="5" t="s">
        <v>146</v>
      </c>
      <c r="C61" s="13" t="str">
        <f>IF(ABS(C59-C60)&lt;0.005,"Pass","Fail")</f>
        <v>Pass</v>
      </c>
    </row>
    <row r="62" spans="1:4" ht="25" x14ac:dyDescent="0.35">
      <c r="A62" s="5" t="s">
        <v>147</v>
      </c>
      <c r="C62" s="16">
        <f>SUMIFS($C$5:$C$31,$D$5:$D$31,"Revenue from operations")+SUMIFS($C$5:$C$31,$D$5:$D$31,"Other income")-(SUM($C$5:$C$31)-SUMIFS($C$5:$C$31,$D$5:$D$31,"Revenue from operations")-SUMIFS($C$5:$C$31,$D$5:$D$31,"Other income"))</f>
        <v>-3.269999999999996</v>
      </c>
    </row>
    <row r="63" spans="1:4" ht="62.5" x14ac:dyDescent="0.35">
      <c r="A63" s="5" t="s">
        <v>148</v>
      </c>
      <c r="C63" s="13" t="str">
        <f>IF(ABS(C42-C62)&lt;0.005,"Pass","Fail")</f>
        <v>Pass</v>
      </c>
    </row>
    <row r="64" spans="1:4" ht="50" x14ac:dyDescent="0.35">
      <c r="A64" s="5" t="s">
        <v>149</v>
      </c>
      <c r="C64" s="20">
        <v>13.8</v>
      </c>
    </row>
    <row r="65" spans="1:3" ht="50" x14ac:dyDescent="0.35">
      <c r="A65" s="5" t="s">
        <v>150</v>
      </c>
      <c r="C65" s="13" t="str">
        <f>IF(ABS(C37-C64)&lt;0.005,"Pass","Fail")</f>
        <v>Fail</v>
      </c>
    </row>
  </sheetData>
  <dataValidations count="1">
    <dataValidation type="list" sqref="F21" xr:uid="{00000000-0002-0000-0100-000000000000}">
      <formula1>"Cost of goods,Performance marketing"</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2"/>
  <sheetViews>
    <sheetView workbookViewId="0"/>
  </sheetViews>
  <sheetFormatPr defaultRowHeight="14.5" x14ac:dyDescent="0.35"/>
  <cols>
    <col min="1" max="1" width="30" customWidth="1"/>
    <col min="2" max="2" width="58" customWidth="1"/>
    <col min="3" max="3" width="14" customWidth="1"/>
    <col min="4" max="6" width="12" customWidth="1"/>
    <col min="7" max="7" width="10" customWidth="1"/>
  </cols>
  <sheetData>
    <row r="1" spans="1:7" ht="24" customHeight="1" x14ac:dyDescent="0.4">
      <c r="A1" s="1" t="s">
        <v>151</v>
      </c>
      <c r="B1" s="2"/>
      <c r="C1" s="2"/>
      <c r="D1" s="2"/>
      <c r="E1" s="2"/>
      <c r="F1" s="2"/>
    </row>
    <row r="2" spans="1:7" x14ac:dyDescent="0.35">
      <c r="A2" s="3" t="s">
        <v>152</v>
      </c>
    </row>
    <row r="4" spans="1:7" x14ac:dyDescent="0.35">
      <c r="A4" s="5" t="s">
        <v>153</v>
      </c>
      <c r="C4" s="14" t="s">
        <v>154</v>
      </c>
    </row>
    <row r="5" spans="1:7" x14ac:dyDescent="0.35">
      <c r="A5" s="5" t="s">
        <v>155</v>
      </c>
      <c r="C5" s="12">
        <v>0.05</v>
      </c>
    </row>
    <row r="6" spans="1:7" x14ac:dyDescent="0.35">
      <c r="A6" s="5" t="s">
        <v>156</v>
      </c>
      <c r="C6" s="21">
        <v>0.18</v>
      </c>
    </row>
    <row r="8" spans="1:7" x14ac:dyDescent="0.35">
      <c r="A8" s="4" t="s">
        <v>157</v>
      </c>
    </row>
    <row r="9" spans="1:7" x14ac:dyDescent="0.35">
      <c r="A9" s="9" t="s">
        <v>158</v>
      </c>
      <c r="B9" s="10" t="s">
        <v>159</v>
      </c>
      <c r="C9" s="10" t="s">
        <v>160</v>
      </c>
      <c r="D9" s="10" t="s">
        <v>161</v>
      </c>
      <c r="E9" s="10" t="s">
        <v>162</v>
      </c>
      <c r="F9" s="10" t="s">
        <v>163</v>
      </c>
      <c r="G9" s="10" t="s">
        <v>164</v>
      </c>
    </row>
    <row r="10" spans="1:7" x14ac:dyDescent="0.35">
      <c r="A10" s="11" t="s">
        <v>165</v>
      </c>
      <c r="B10" s="5" t="s">
        <v>166</v>
      </c>
      <c r="C10" s="12">
        <v>7.6499999999999986</v>
      </c>
      <c r="D10" s="14" t="s">
        <v>167</v>
      </c>
      <c r="E10" s="22">
        <f t="shared" ref="E10:E21" si="0">IF(AND(D10="base",$C$4="Yes"),0,C10)</f>
        <v>7.6499999999999986</v>
      </c>
      <c r="F10" s="22">
        <f t="shared" ref="F10:F21" si="1">IF(OR(D10="timing",D10="error",D10="exposure"),E10,0)</f>
        <v>0</v>
      </c>
      <c r="G10" s="11"/>
    </row>
    <row r="11" spans="1:7" x14ac:dyDescent="0.35">
      <c r="A11" s="11" t="s">
        <v>165</v>
      </c>
      <c r="B11" s="5" t="s">
        <v>168</v>
      </c>
      <c r="C11" s="12">
        <v>6.48</v>
      </c>
      <c r="D11" s="14" t="s">
        <v>167</v>
      </c>
      <c r="E11" s="22">
        <f t="shared" si="0"/>
        <v>6.48</v>
      </c>
      <c r="F11" s="22">
        <f t="shared" si="1"/>
        <v>0</v>
      </c>
      <c r="G11" s="11"/>
    </row>
    <row r="12" spans="1:7" x14ac:dyDescent="0.35">
      <c r="A12" s="11" t="s">
        <v>165</v>
      </c>
      <c r="B12" s="5" t="s">
        <v>169</v>
      </c>
      <c r="C12" s="12">
        <v>4.59</v>
      </c>
      <c r="D12" s="14" t="s">
        <v>167</v>
      </c>
      <c r="E12" s="22">
        <f t="shared" si="0"/>
        <v>4.59</v>
      </c>
      <c r="F12" s="22">
        <f t="shared" si="1"/>
        <v>0</v>
      </c>
      <c r="G12" s="11"/>
    </row>
    <row r="13" spans="1:7" x14ac:dyDescent="0.35">
      <c r="A13" s="11" t="s">
        <v>165</v>
      </c>
      <c r="B13" s="5" t="s">
        <v>170</v>
      </c>
      <c r="C13" s="12">
        <v>-1.575</v>
      </c>
      <c r="D13" s="14" t="s">
        <v>167</v>
      </c>
      <c r="E13" s="22">
        <f t="shared" si="0"/>
        <v>-1.575</v>
      </c>
      <c r="F13" s="22">
        <f t="shared" si="1"/>
        <v>0</v>
      </c>
      <c r="G13" s="11"/>
    </row>
    <row r="14" spans="1:7" x14ac:dyDescent="0.35">
      <c r="A14" s="11" t="s">
        <v>165</v>
      </c>
      <c r="B14" s="5" t="s">
        <v>171</v>
      </c>
      <c r="C14" s="12">
        <v>-4.5000000000000012E-2</v>
      </c>
      <c r="D14" s="14" t="s">
        <v>172</v>
      </c>
      <c r="E14" s="22">
        <f t="shared" si="0"/>
        <v>-4.5000000000000012E-2</v>
      </c>
      <c r="F14" s="22">
        <f t="shared" si="1"/>
        <v>-4.5000000000000012E-2</v>
      </c>
      <c r="G14" s="11" t="s">
        <v>173</v>
      </c>
    </row>
    <row r="15" spans="1:7" x14ac:dyDescent="0.35">
      <c r="A15" s="11" t="s">
        <v>174</v>
      </c>
      <c r="B15" s="5" t="s">
        <v>175</v>
      </c>
      <c r="C15" s="12">
        <v>7.6499999999999986</v>
      </c>
      <c r="D15" s="14" t="s">
        <v>167</v>
      </c>
      <c r="E15" s="22">
        <f t="shared" si="0"/>
        <v>7.6499999999999986</v>
      </c>
      <c r="F15" s="22">
        <f t="shared" si="1"/>
        <v>0</v>
      </c>
      <c r="G15" s="11"/>
    </row>
    <row r="16" spans="1:7" x14ac:dyDescent="0.35">
      <c r="A16" s="11" t="s">
        <v>174</v>
      </c>
      <c r="B16" s="5" t="s">
        <v>176</v>
      </c>
      <c r="C16" s="12">
        <v>6.4680000000000009</v>
      </c>
      <c r="D16" s="14" t="s">
        <v>167</v>
      </c>
      <c r="E16" s="22">
        <f t="shared" si="0"/>
        <v>6.4680000000000009</v>
      </c>
      <c r="F16" s="22">
        <f t="shared" si="1"/>
        <v>0</v>
      </c>
      <c r="G16" s="11"/>
    </row>
    <row r="17" spans="1:7" x14ac:dyDescent="0.35">
      <c r="A17" s="11" t="s">
        <v>174</v>
      </c>
      <c r="B17" s="5" t="s">
        <v>177</v>
      </c>
      <c r="C17" s="12">
        <v>4.59</v>
      </c>
      <c r="D17" s="14" t="s">
        <v>167</v>
      </c>
      <c r="E17" s="22">
        <f t="shared" si="0"/>
        <v>4.59</v>
      </c>
      <c r="F17" s="22">
        <f t="shared" si="1"/>
        <v>0</v>
      </c>
      <c r="G17" s="11"/>
    </row>
    <row r="18" spans="1:7" x14ac:dyDescent="0.35">
      <c r="A18" s="11" t="s">
        <v>174</v>
      </c>
      <c r="B18" s="5" t="s">
        <v>178</v>
      </c>
      <c r="C18" s="12">
        <v>-1.575</v>
      </c>
      <c r="D18" s="14" t="s">
        <v>167</v>
      </c>
      <c r="E18" s="22">
        <f t="shared" si="0"/>
        <v>-1.575</v>
      </c>
      <c r="F18" s="22">
        <f t="shared" si="1"/>
        <v>0</v>
      </c>
      <c r="G18" s="11"/>
    </row>
    <row r="19" spans="1:7" x14ac:dyDescent="0.35">
      <c r="A19" s="11" t="s">
        <v>174</v>
      </c>
      <c r="B19" s="5" t="s">
        <v>179</v>
      </c>
      <c r="C19" s="12">
        <v>-2.8000000000000001E-2</v>
      </c>
      <c r="D19" s="14" t="s">
        <v>172</v>
      </c>
      <c r="E19" s="22">
        <f t="shared" si="0"/>
        <v>-2.8000000000000001E-2</v>
      </c>
      <c r="F19" s="22">
        <f t="shared" si="1"/>
        <v>-2.8000000000000001E-2</v>
      </c>
      <c r="G19" s="11" t="s">
        <v>180</v>
      </c>
    </row>
    <row r="20" spans="1:7" x14ac:dyDescent="0.35">
      <c r="A20" s="11" t="s">
        <v>174</v>
      </c>
      <c r="B20" s="5" t="s">
        <v>181</v>
      </c>
      <c r="C20" s="12">
        <v>-0.4</v>
      </c>
      <c r="D20" s="14" t="s">
        <v>182</v>
      </c>
      <c r="E20" s="22">
        <f t="shared" si="0"/>
        <v>-0.4</v>
      </c>
      <c r="F20" s="22">
        <f t="shared" si="1"/>
        <v>-0.4</v>
      </c>
      <c r="G20" s="11" t="s">
        <v>183</v>
      </c>
    </row>
    <row r="21" spans="1:7" x14ac:dyDescent="0.35">
      <c r="A21" s="11" t="s">
        <v>174</v>
      </c>
      <c r="B21" s="5" t="s">
        <v>184</v>
      </c>
      <c r="C21" s="12">
        <v>2.4</v>
      </c>
      <c r="D21" s="14" t="s">
        <v>185</v>
      </c>
      <c r="E21" s="22">
        <f t="shared" si="0"/>
        <v>0</v>
      </c>
      <c r="F21" s="22">
        <f t="shared" si="1"/>
        <v>0</v>
      </c>
      <c r="G21" s="11"/>
    </row>
    <row r="23" spans="1:7" x14ac:dyDescent="0.35">
      <c r="A23" s="5" t="s">
        <v>186</v>
      </c>
      <c r="C23" s="22">
        <f>SUMIFS(E10:E21,A10:A21,"Books")</f>
        <v>17.099999999999998</v>
      </c>
    </row>
    <row r="24" spans="1:7" x14ac:dyDescent="0.35">
      <c r="A24" s="5" t="s">
        <v>187</v>
      </c>
      <c r="C24" s="22">
        <f>SUMIFS(E10:E21,A10:A21,"GSTR-1")</f>
        <v>16.705000000000002</v>
      </c>
    </row>
    <row r="25" spans="1:7" x14ac:dyDescent="0.35">
      <c r="A25" s="5" t="s">
        <v>188</v>
      </c>
      <c r="C25" s="22">
        <f>C23-C24</f>
        <v>0.39499999999999602</v>
      </c>
    </row>
    <row r="26" spans="1:7" x14ac:dyDescent="0.35">
      <c r="A26" s="5" t="s">
        <v>189</v>
      </c>
      <c r="C26" s="22">
        <f>SUMIFS(F10:F21,A10:A21,"Books")-SUMIFS(F10:F21,A10:A21,"GSTR-1")</f>
        <v>0.38300000000000001</v>
      </c>
    </row>
    <row r="27" spans="1:7" x14ac:dyDescent="0.35">
      <c r="A27" s="17" t="s">
        <v>190</v>
      </c>
      <c r="C27" s="23">
        <f>C25-C26</f>
        <v>1.1999999999996014E-2</v>
      </c>
    </row>
    <row r="28" spans="1:7" x14ac:dyDescent="0.35">
      <c r="A28" s="5" t="s">
        <v>191</v>
      </c>
      <c r="C28" s="13" t="str">
        <f>IF(ABS(C27)&lt;=$C$5+0.000000001,"Yes","No")</f>
        <v>Yes</v>
      </c>
    </row>
    <row r="29" spans="1:7" x14ac:dyDescent="0.35">
      <c r="A29" s="17" t="s">
        <v>192</v>
      </c>
      <c r="C29" s="22">
        <f>-SUMIFS(C10:C21,D10:D21,"exposure")*$C$6</f>
        <v>7.1999999999999995E-2</v>
      </c>
    </row>
    <row r="31" spans="1:7" x14ac:dyDescent="0.35">
      <c r="A31" s="4" t="s">
        <v>193</v>
      </c>
    </row>
    <row r="32" spans="1:7" x14ac:dyDescent="0.35">
      <c r="A32" s="5" t="s">
        <v>194</v>
      </c>
      <c r="C32" s="22">
        <f>SUMIFS($C$10:$C$21,$A$10:$A$21,"Books",$D$10:$D$21,"matched")</f>
        <v>17.145</v>
      </c>
    </row>
    <row r="33" spans="1:6" x14ac:dyDescent="0.35">
      <c r="A33" s="5" t="s">
        <v>195</v>
      </c>
      <c r="C33" s="22">
        <f>C32-SUMIFS($C$10:$C$21,$A$10:$A$21,"GSTR-1",$D$10:$D$21,"matched")</f>
        <v>1.2000000000000455E-2</v>
      </c>
      <c r="D33" s="11" t="s">
        <v>196</v>
      </c>
    </row>
    <row r="34" spans="1:6" x14ac:dyDescent="0.35">
      <c r="A34" s="5" t="s">
        <v>197</v>
      </c>
      <c r="C34" s="22">
        <f>SUMIFS($C$10:$C$21,$D$10:$D$21,"base")</f>
        <v>2.4</v>
      </c>
    </row>
    <row r="35" spans="1:6" x14ac:dyDescent="0.35">
      <c r="A35" s="9" t="s">
        <v>164</v>
      </c>
      <c r="B35" s="10" t="s">
        <v>198</v>
      </c>
      <c r="C35" s="10" t="s">
        <v>165</v>
      </c>
      <c r="D35" s="10" t="s">
        <v>174</v>
      </c>
      <c r="E35" s="10" t="s">
        <v>163</v>
      </c>
      <c r="F35" s="10" t="s">
        <v>190</v>
      </c>
    </row>
    <row r="36" spans="1:6" x14ac:dyDescent="0.35">
      <c r="A36" s="11" t="s">
        <v>180</v>
      </c>
      <c r="B36" s="24">
        <v>0.85</v>
      </c>
      <c r="C36" s="22">
        <f t="shared" ref="C36:C47" si="2">$C$32*B36/12+SUMIFS($C$10:$C$21,$A$10:$A$21,"Books",$G$10:$G$21,A36,$D$10:$D$21,"&lt;&gt;matched")</f>
        <v>1.2144375000000001</v>
      </c>
      <c r="D36" s="22">
        <f t="shared" ref="D36:D47" si="3">$C$32*B36/12-IF(A36=$D$33,$C$33,0)+SUMIFS($C$10:$C$21,$A$10:$A$21,"GSTR-1",$G$10:$G$21,A36,$D$10:$D$21,"&lt;&gt;matched",$D$10:$D$21,"&lt;&gt;base")+IF($C$4="Yes",0,$C$34*B36/12)</f>
        <v>1.1864375</v>
      </c>
      <c r="E36" s="22">
        <f t="shared" ref="E36:E47" si="4">SUMIFS($C$10:$C$21,$A$10:$A$21,"Books",$G$10:$G$21,A36,$D$10:$D$21,"&lt;&gt;matched")-SUMIFS($C$10:$C$21,$A$10:$A$21,"GSTR-1",$G$10:$G$21,A36,$D$10:$D$21,"&lt;&gt;matched",$D$10:$D$21,"&lt;&gt;base")</f>
        <v>2.8000000000000001E-2</v>
      </c>
      <c r="F36" s="22">
        <f t="shared" ref="F36:F47" si="5">C36-D36-E36</f>
        <v>0</v>
      </c>
    </row>
    <row r="37" spans="1:6" x14ac:dyDescent="0.35">
      <c r="A37" s="11" t="s">
        <v>199</v>
      </c>
      <c r="B37" s="24">
        <v>0.85</v>
      </c>
      <c r="C37" s="22">
        <f t="shared" si="2"/>
        <v>1.2144375000000001</v>
      </c>
      <c r="D37" s="22">
        <f t="shared" si="3"/>
        <v>1.2144375000000001</v>
      </c>
      <c r="E37" s="22">
        <f t="shared" si="4"/>
        <v>0</v>
      </c>
      <c r="F37" s="22">
        <f t="shared" si="5"/>
        <v>0</v>
      </c>
    </row>
    <row r="38" spans="1:6" x14ac:dyDescent="0.35">
      <c r="A38" s="11" t="s">
        <v>200</v>
      </c>
      <c r="B38" s="24">
        <v>0.9</v>
      </c>
      <c r="C38" s="22">
        <f t="shared" si="2"/>
        <v>1.2858750000000001</v>
      </c>
      <c r="D38" s="22">
        <f t="shared" si="3"/>
        <v>1.2858750000000001</v>
      </c>
      <c r="E38" s="22">
        <f t="shared" si="4"/>
        <v>0</v>
      </c>
      <c r="F38" s="22">
        <f t="shared" si="5"/>
        <v>0</v>
      </c>
    </row>
    <row r="39" spans="1:6" x14ac:dyDescent="0.35">
      <c r="A39" s="11" t="s">
        <v>201</v>
      </c>
      <c r="B39" s="24">
        <v>0.9</v>
      </c>
      <c r="C39" s="22">
        <f t="shared" si="2"/>
        <v>1.2858750000000001</v>
      </c>
      <c r="D39" s="22">
        <f t="shared" si="3"/>
        <v>1.2858750000000001</v>
      </c>
      <c r="E39" s="22">
        <f t="shared" si="4"/>
        <v>0</v>
      </c>
      <c r="F39" s="22">
        <f t="shared" si="5"/>
        <v>0</v>
      </c>
    </row>
    <row r="40" spans="1:6" x14ac:dyDescent="0.35">
      <c r="A40" s="11" t="s">
        <v>202</v>
      </c>
      <c r="B40" s="24">
        <v>0.95</v>
      </c>
      <c r="C40" s="22">
        <f t="shared" si="2"/>
        <v>1.3573124999999999</v>
      </c>
      <c r="D40" s="22">
        <f t="shared" si="3"/>
        <v>1.3573124999999999</v>
      </c>
      <c r="E40" s="22">
        <f t="shared" si="4"/>
        <v>0</v>
      </c>
      <c r="F40" s="22">
        <f t="shared" si="5"/>
        <v>0</v>
      </c>
    </row>
    <row r="41" spans="1:6" x14ac:dyDescent="0.35">
      <c r="A41" s="11" t="s">
        <v>203</v>
      </c>
      <c r="B41" s="24">
        <v>1.05</v>
      </c>
      <c r="C41" s="22">
        <f t="shared" si="2"/>
        <v>1.5001875</v>
      </c>
      <c r="D41" s="22">
        <f t="shared" si="3"/>
        <v>1.5001875</v>
      </c>
      <c r="E41" s="22">
        <f t="shared" si="4"/>
        <v>0</v>
      </c>
      <c r="F41" s="22">
        <f t="shared" si="5"/>
        <v>0</v>
      </c>
    </row>
    <row r="42" spans="1:6" x14ac:dyDescent="0.35">
      <c r="A42" s="11" t="s">
        <v>204</v>
      </c>
      <c r="B42" s="24">
        <v>1.2</v>
      </c>
      <c r="C42" s="22">
        <f t="shared" si="2"/>
        <v>1.7144999999999999</v>
      </c>
      <c r="D42" s="22">
        <f t="shared" si="3"/>
        <v>1.7144999999999999</v>
      </c>
      <c r="E42" s="22">
        <f t="shared" si="4"/>
        <v>0</v>
      </c>
      <c r="F42" s="22">
        <f t="shared" si="5"/>
        <v>0</v>
      </c>
    </row>
    <row r="43" spans="1:6" x14ac:dyDescent="0.35">
      <c r="A43" s="11" t="s">
        <v>196</v>
      </c>
      <c r="B43" s="24">
        <v>1.5</v>
      </c>
      <c r="C43" s="22">
        <f t="shared" si="2"/>
        <v>2.1431249999999999</v>
      </c>
      <c r="D43" s="22">
        <f t="shared" si="3"/>
        <v>2.1311249999999995</v>
      </c>
      <c r="E43" s="22">
        <f t="shared" si="4"/>
        <v>0</v>
      </c>
      <c r="F43" s="22">
        <f t="shared" si="5"/>
        <v>1.2000000000000455E-2</v>
      </c>
    </row>
    <row r="44" spans="1:6" x14ac:dyDescent="0.35">
      <c r="A44" s="11" t="s">
        <v>205</v>
      </c>
      <c r="B44" s="24">
        <v>1</v>
      </c>
      <c r="C44" s="22">
        <f t="shared" si="2"/>
        <v>1.42875</v>
      </c>
      <c r="D44" s="22">
        <f t="shared" si="3"/>
        <v>1.42875</v>
      </c>
      <c r="E44" s="22">
        <f t="shared" si="4"/>
        <v>0</v>
      </c>
      <c r="F44" s="22">
        <f t="shared" si="5"/>
        <v>0</v>
      </c>
    </row>
    <row r="45" spans="1:6" x14ac:dyDescent="0.35">
      <c r="A45" s="11" t="s">
        <v>183</v>
      </c>
      <c r="B45" s="24">
        <v>0.95</v>
      </c>
      <c r="C45" s="22">
        <f t="shared" si="2"/>
        <v>1.3573124999999999</v>
      </c>
      <c r="D45" s="22">
        <f t="shared" si="3"/>
        <v>0.9573124999999999</v>
      </c>
      <c r="E45" s="22">
        <f t="shared" si="4"/>
        <v>0.4</v>
      </c>
      <c r="F45" s="22">
        <f t="shared" si="5"/>
        <v>0</v>
      </c>
    </row>
    <row r="46" spans="1:6" x14ac:dyDescent="0.35">
      <c r="A46" s="11" t="s">
        <v>206</v>
      </c>
      <c r="B46" s="24">
        <v>0.9</v>
      </c>
      <c r="C46" s="22">
        <f t="shared" si="2"/>
        <v>1.2858750000000001</v>
      </c>
      <c r="D46" s="22">
        <f t="shared" si="3"/>
        <v>1.2858750000000001</v>
      </c>
      <c r="E46" s="22">
        <f t="shared" si="4"/>
        <v>0</v>
      </c>
      <c r="F46" s="22">
        <f t="shared" si="5"/>
        <v>0</v>
      </c>
    </row>
    <row r="47" spans="1:6" x14ac:dyDescent="0.35">
      <c r="A47" s="11" t="s">
        <v>173</v>
      </c>
      <c r="B47" s="24">
        <v>0.95</v>
      </c>
      <c r="C47" s="22">
        <f t="shared" si="2"/>
        <v>1.3123125</v>
      </c>
      <c r="D47" s="22">
        <f t="shared" si="3"/>
        <v>1.3573124999999999</v>
      </c>
      <c r="E47" s="22">
        <f t="shared" si="4"/>
        <v>-4.5000000000000012E-2</v>
      </c>
      <c r="F47" s="22">
        <f t="shared" si="5"/>
        <v>8.3266726846886741E-17</v>
      </c>
    </row>
    <row r="48" spans="1:6" x14ac:dyDescent="0.35">
      <c r="A48" s="17" t="s">
        <v>58</v>
      </c>
      <c r="B48" s="25">
        <f>SUM(B36:B47)</f>
        <v>11.999999999999998</v>
      </c>
      <c r="C48" s="23">
        <f>SUM(C36:C47)</f>
        <v>17.100000000000001</v>
      </c>
      <c r="D48" s="23">
        <f>SUM(D36:D47)</f>
        <v>16.704999999999998</v>
      </c>
      <c r="E48" s="23">
        <f>SUM(E36:E47)</f>
        <v>0.38300000000000001</v>
      </c>
      <c r="F48" s="23">
        <f>SUM(F36:F47)</f>
        <v>1.2000000000000538E-2</v>
      </c>
    </row>
    <row r="49" spans="1:7" x14ac:dyDescent="0.35">
      <c r="A49" s="5" t="s">
        <v>207</v>
      </c>
      <c r="C49" s="13" t="str">
        <f>IF(AND(ABS(C48-C23)&lt;0.00005,ABS(D48-C24)&lt;0.00005,ABS(F48-C27)&lt;0.00005),"Pass","Fail")</f>
        <v>Pass</v>
      </c>
    </row>
    <row r="51" spans="1:7" x14ac:dyDescent="0.35">
      <c r="A51" s="4" t="s">
        <v>208</v>
      </c>
    </row>
    <row r="52" spans="1:7" x14ac:dyDescent="0.35">
      <c r="A52" s="9" t="s">
        <v>158</v>
      </c>
      <c r="B52" s="10" t="s">
        <v>159</v>
      </c>
      <c r="C52" s="10" t="s">
        <v>160</v>
      </c>
      <c r="D52" s="10" t="s">
        <v>161</v>
      </c>
      <c r="E52" s="10" t="s">
        <v>162</v>
      </c>
      <c r="F52" s="10" t="s">
        <v>163</v>
      </c>
      <c r="G52" s="10" t="s">
        <v>164</v>
      </c>
    </row>
    <row r="53" spans="1:7" x14ac:dyDescent="0.35">
      <c r="A53" s="11" t="s">
        <v>165</v>
      </c>
      <c r="B53" s="5" t="s">
        <v>166</v>
      </c>
      <c r="C53" s="12">
        <v>5.1000000000000014</v>
      </c>
      <c r="D53" s="14" t="s">
        <v>167</v>
      </c>
      <c r="E53" s="22">
        <f t="shared" ref="E53:E60" si="6">IF(AND(D53="base",$C$4="Yes"),0,C53)</f>
        <v>5.1000000000000014</v>
      </c>
      <c r="F53" s="22">
        <f t="shared" ref="F53:F60" si="7">IF(OR(D53="timing",D53="error",D53="exposure"),E53,0)</f>
        <v>0</v>
      </c>
      <c r="G53" s="11"/>
    </row>
    <row r="54" spans="1:7" x14ac:dyDescent="0.35">
      <c r="A54" s="11" t="s">
        <v>165</v>
      </c>
      <c r="B54" s="5" t="s">
        <v>168</v>
      </c>
      <c r="C54" s="12">
        <v>9.7199999999999989</v>
      </c>
      <c r="D54" s="14" t="s">
        <v>167</v>
      </c>
      <c r="E54" s="22">
        <f t="shared" si="6"/>
        <v>9.7199999999999989</v>
      </c>
      <c r="F54" s="22">
        <f t="shared" si="7"/>
        <v>0</v>
      </c>
      <c r="G54" s="11"/>
    </row>
    <row r="55" spans="1:7" x14ac:dyDescent="0.35">
      <c r="A55" s="11" t="s">
        <v>165</v>
      </c>
      <c r="B55" s="5" t="s">
        <v>170</v>
      </c>
      <c r="C55" s="12">
        <v>-1.8525</v>
      </c>
      <c r="D55" s="14" t="s">
        <v>167</v>
      </c>
      <c r="E55" s="22">
        <f t="shared" si="6"/>
        <v>-1.8525</v>
      </c>
      <c r="F55" s="22">
        <f t="shared" si="7"/>
        <v>0</v>
      </c>
      <c r="G55" s="11"/>
    </row>
    <row r="56" spans="1:7" x14ac:dyDescent="0.35">
      <c r="A56" s="11" t="s">
        <v>165</v>
      </c>
      <c r="B56" s="5" t="s">
        <v>171</v>
      </c>
      <c r="C56" s="12">
        <v>-6.7500000000000004E-2</v>
      </c>
      <c r="D56" s="14" t="s">
        <v>172</v>
      </c>
      <c r="E56" s="22">
        <f t="shared" si="6"/>
        <v>-6.7500000000000004E-2</v>
      </c>
      <c r="F56" s="22">
        <f t="shared" si="7"/>
        <v>-6.7500000000000004E-2</v>
      </c>
      <c r="G56" s="11" t="s">
        <v>173</v>
      </c>
    </row>
    <row r="57" spans="1:7" x14ac:dyDescent="0.35">
      <c r="A57" s="11" t="s">
        <v>174</v>
      </c>
      <c r="B57" s="5" t="s">
        <v>175</v>
      </c>
      <c r="C57" s="12">
        <v>5.1000000000000014</v>
      </c>
      <c r="D57" s="14" t="s">
        <v>167</v>
      </c>
      <c r="E57" s="22">
        <f t="shared" si="6"/>
        <v>5.1000000000000014</v>
      </c>
      <c r="F57" s="22">
        <f t="shared" si="7"/>
        <v>0</v>
      </c>
      <c r="G57" s="11"/>
    </row>
    <row r="58" spans="1:7" x14ac:dyDescent="0.35">
      <c r="A58" s="11" t="s">
        <v>174</v>
      </c>
      <c r="B58" s="5" t="s">
        <v>176</v>
      </c>
      <c r="C58" s="12">
        <v>9.7199999999999989</v>
      </c>
      <c r="D58" s="14" t="s">
        <v>167</v>
      </c>
      <c r="E58" s="22">
        <f t="shared" si="6"/>
        <v>9.7199999999999989</v>
      </c>
      <c r="F58" s="22">
        <f t="shared" si="7"/>
        <v>0</v>
      </c>
      <c r="G58" s="11"/>
    </row>
    <row r="59" spans="1:7" x14ac:dyDescent="0.35">
      <c r="A59" s="11" t="s">
        <v>174</v>
      </c>
      <c r="B59" s="5" t="s">
        <v>178</v>
      </c>
      <c r="C59" s="12">
        <v>-1.8525</v>
      </c>
      <c r="D59" s="14" t="s">
        <v>167</v>
      </c>
      <c r="E59" s="22">
        <f t="shared" si="6"/>
        <v>-1.8525</v>
      </c>
      <c r="F59" s="22">
        <f t="shared" si="7"/>
        <v>0</v>
      </c>
      <c r="G59" s="11"/>
    </row>
    <row r="60" spans="1:7" x14ac:dyDescent="0.35">
      <c r="A60" s="11" t="s">
        <v>174</v>
      </c>
      <c r="B60" s="5" t="s">
        <v>179</v>
      </c>
      <c r="C60" s="12">
        <v>-4.2000000000000003E-2</v>
      </c>
      <c r="D60" s="14" t="s">
        <v>172</v>
      </c>
      <c r="E60" s="22">
        <f t="shared" si="6"/>
        <v>-4.2000000000000003E-2</v>
      </c>
      <c r="F60" s="22">
        <f t="shared" si="7"/>
        <v>-4.2000000000000003E-2</v>
      </c>
      <c r="G60" s="11" t="s">
        <v>180</v>
      </c>
    </row>
    <row r="62" spans="1:7" x14ac:dyDescent="0.35">
      <c r="A62" s="5" t="s">
        <v>186</v>
      </c>
      <c r="C62" s="22">
        <f>SUMIFS(E53:E60,A53:A60,"Books")</f>
        <v>12.9</v>
      </c>
    </row>
    <row r="63" spans="1:7" x14ac:dyDescent="0.35">
      <c r="A63" s="5" t="s">
        <v>187</v>
      </c>
      <c r="C63" s="22">
        <f>SUMIFS(E53:E60,A53:A60,"GSTR-1")</f>
        <v>12.925500000000001</v>
      </c>
    </row>
    <row r="64" spans="1:7" x14ac:dyDescent="0.35">
      <c r="A64" s="5" t="s">
        <v>188</v>
      </c>
      <c r="C64" s="22">
        <f>C62-C63</f>
        <v>-2.5500000000000966E-2</v>
      </c>
    </row>
    <row r="65" spans="1:6" x14ac:dyDescent="0.35">
      <c r="A65" s="5" t="s">
        <v>189</v>
      </c>
      <c r="C65" s="22">
        <f>SUMIFS(F53:F60,A53:A60,"Books")-SUMIFS(F53:F60,A53:A60,"GSTR-1")</f>
        <v>-2.5500000000000002E-2</v>
      </c>
    </row>
    <row r="66" spans="1:6" x14ac:dyDescent="0.35">
      <c r="A66" s="17" t="s">
        <v>190</v>
      </c>
      <c r="C66" s="23">
        <f>C64-C65</f>
        <v>-9.6450625264310474E-16</v>
      </c>
    </row>
    <row r="67" spans="1:6" x14ac:dyDescent="0.35">
      <c r="A67" s="5" t="s">
        <v>191</v>
      </c>
      <c r="C67" s="13" t="str">
        <f>IF(ABS(C66)&lt;=$C$5+0.000000001,"Yes","No")</f>
        <v>Yes</v>
      </c>
    </row>
    <row r="68" spans="1:6" x14ac:dyDescent="0.35">
      <c r="A68" s="17" t="s">
        <v>192</v>
      </c>
      <c r="C68" s="22">
        <f>-SUMIFS(C53:C60,D53:D60,"exposure")*$C$6</f>
        <v>0</v>
      </c>
    </row>
    <row r="70" spans="1:6" x14ac:dyDescent="0.35">
      <c r="A70" s="4" t="s">
        <v>209</v>
      </c>
    </row>
    <row r="71" spans="1:6" x14ac:dyDescent="0.35">
      <c r="A71" s="5" t="s">
        <v>194</v>
      </c>
      <c r="C71" s="22">
        <f>SUMIFS($C$53:$C$60,$A$53:$A$60,"Books",$D$53:$D$60,"matched")</f>
        <v>12.967500000000001</v>
      </c>
    </row>
    <row r="72" spans="1:6" x14ac:dyDescent="0.35">
      <c r="A72" s="5" t="s">
        <v>195</v>
      </c>
      <c r="C72" s="22">
        <f>C71-SUMIFS($C$53:$C$60,$A$53:$A$60,"GSTR-1",$D$53:$D$60,"matched")</f>
        <v>0</v>
      </c>
      <c r="D72" s="11" t="s">
        <v>196</v>
      </c>
    </row>
    <row r="73" spans="1:6" x14ac:dyDescent="0.35">
      <c r="A73" s="5" t="s">
        <v>197</v>
      </c>
      <c r="C73" s="22">
        <f>SUMIFS($C$53:$C$60,$D$53:$D$60,"base")</f>
        <v>0</v>
      </c>
    </row>
    <row r="74" spans="1:6" x14ac:dyDescent="0.35">
      <c r="A74" s="9" t="s">
        <v>164</v>
      </c>
      <c r="B74" s="10" t="s">
        <v>198</v>
      </c>
      <c r="C74" s="10" t="s">
        <v>165</v>
      </c>
      <c r="D74" s="10" t="s">
        <v>174</v>
      </c>
      <c r="E74" s="10" t="s">
        <v>163</v>
      </c>
      <c r="F74" s="10" t="s">
        <v>190</v>
      </c>
    </row>
    <row r="75" spans="1:6" x14ac:dyDescent="0.35">
      <c r="A75" s="11" t="s">
        <v>180</v>
      </c>
      <c r="B75" s="24">
        <v>0.85</v>
      </c>
      <c r="C75" s="22">
        <f t="shared" ref="C75:C86" si="8">$C$71*B75/12+SUMIFS($C$53:$C$60,$A$53:$A$60,"Books",$G$53:$G$60,A75,$D$53:$D$60,"&lt;&gt;matched")</f>
        <v>0.91853125000000002</v>
      </c>
      <c r="D75" s="22">
        <f t="shared" ref="D75:D86" si="9">$C$71*B75/12-IF(A75=$D$72,$C$72,0)+SUMIFS($C$53:$C$60,$A$53:$A$60,"GSTR-1",$G$53:$G$60,A75,$D$53:$D$60,"&lt;&gt;matched",$D$53:$D$60,"&lt;&gt;base")+IF($C$4="Yes",0,$C$73*B75/12)</f>
        <v>0.87653124999999998</v>
      </c>
      <c r="E75" s="22">
        <f t="shared" ref="E75:E86" si="10">SUMIFS($C$53:$C$60,$A$53:$A$60,"Books",$G$53:$G$60,A75,$D$53:$D$60,"&lt;&gt;matched")-SUMIFS($C$53:$C$60,$A$53:$A$60,"GSTR-1",$G$53:$G$60,A75,$D$53:$D$60,"&lt;&gt;matched",$D$53:$D$60,"&lt;&gt;base")</f>
        <v>4.2000000000000003E-2</v>
      </c>
      <c r="F75" s="22">
        <f t="shared" ref="F75:F86" si="11">C75-D75-E75</f>
        <v>0</v>
      </c>
    </row>
    <row r="76" spans="1:6" x14ac:dyDescent="0.35">
      <c r="A76" s="11" t="s">
        <v>199</v>
      </c>
      <c r="B76" s="24">
        <v>0.85</v>
      </c>
      <c r="C76" s="22">
        <f t="shared" si="8"/>
        <v>0.91853125000000002</v>
      </c>
      <c r="D76" s="22">
        <f t="shared" si="9"/>
        <v>0.91853125000000002</v>
      </c>
      <c r="E76" s="22">
        <f t="shared" si="10"/>
        <v>0</v>
      </c>
      <c r="F76" s="22">
        <f t="shared" si="11"/>
        <v>0</v>
      </c>
    </row>
    <row r="77" spans="1:6" x14ac:dyDescent="0.35">
      <c r="A77" s="11" t="s">
        <v>200</v>
      </c>
      <c r="B77" s="24">
        <v>0.9</v>
      </c>
      <c r="C77" s="22">
        <f t="shared" si="8"/>
        <v>0.97256250000000011</v>
      </c>
      <c r="D77" s="22">
        <f t="shared" si="9"/>
        <v>0.97256250000000011</v>
      </c>
      <c r="E77" s="22">
        <f t="shared" si="10"/>
        <v>0</v>
      </c>
      <c r="F77" s="22">
        <f t="shared" si="11"/>
        <v>0</v>
      </c>
    </row>
    <row r="78" spans="1:6" x14ac:dyDescent="0.35">
      <c r="A78" s="11" t="s">
        <v>201</v>
      </c>
      <c r="B78" s="24">
        <v>0.9</v>
      </c>
      <c r="C78" s="22">
        <f t="shared" si="8"/>
        <v>0.97256250000000011</v>
      </c>
      <c r="D78" s="22">
        <f t="shared" si="9"/>
        <v>0.97256250000000011</v>
      </c>
      <c r="E78" s="22">
        <f t="shared" si="10"/>
        <v>0</v>
      </c>
      <c r="F78" s="22">
        <f t="shared" si="11"/>
        <v>0</v>
      </c>
    </row>
    <row r="79" spans="1:6" x14ac:dyDescent="0.35">
      <c r="A79" s="11" t="s">
        <v>202</v>
      </c>
      <c r="B79" s="24">
        <v>0.95</v>
      </c>
      <c r="C79" s="22">
        <f t="shared" si="8"/>
        <v>1.02659375</v>
      </c>
      <c r="D79" s="22">
        <f t="shared" si="9"/>
        <v>1.02659375</v>
      </c>
      <c r="E79" s="22">
        <f t="shared" si="10"/>
        <v>0</v>
      </c>
      <c r="F79" s="22">
        <f t="shared" si="11"/>
        <v>0</v>
      </c>
    </row>
    <row r="80" spans="1:6" x14ac:dyDescent="0.35">
      <c r="A80" s="11" t="s">
        <v>203</v>
      </c>
      <c r="B80" s="24">
        <v>1.05</v>
      </c>
      <c r="C80" s="22">
        <f t="shared" si="8"/>
        <v>1.1346562500000001</v>
      </c>
      <c r="D80" s="22">
        <f t="shared" si="9"/>
        <v>1.1346562500000001</v>
      </c>
      <c r="E80" s="22">
        <f t="shared" si="10"/>
        <v>0</v>
      </c>
      <c r="F80" s="22">
        <f t="shared" si="11"/>
        <v>0</v>
      </c>
    </row>
    <row r="81" spans="1:6" x14ac:dyDescent="0.35">
      <c r="A81" s="11" t="s">
        <v>204</v>
      </c>
      <c r="B81" s="24">
        <v>1.2</v>
      </c>
      <c r="C81" s="22">
        <f t="shared" si="8"/>
        <v>1.2967500000000001</v>
      </c>
      <c r="D81" s="22">
        <f t="shared" si="9"/>
        <v>1.2967500000000001</v>
      </c>
      <c r="E81" s="22">
        <f t="shared" si="10"/>
        <v>0</v>
      </c>
      <c r="F81" s="22">
        <f t="shared" si="11"/>
        <v>0</v>
      </c>
    </row>
    <row r="82" spans="1:6" x14ac:dyDescent="0.35">
      <c r="A82" s="11" t="s">
        <v>196</v>
      </c>
      <c r="B82" s="24">
        <v>1.5</v>
      </c>
      <c r="C82" s="22">
        <f t="shared" si="8"/>
        <v>1.6209375000000001</v>
      </c>
      <c r="D82" s="22">
        <f t="shared" si="9"/>
        <v>1.6209375000000001</v>
      </c>
      <c r="E82" s="22">
        <f t="shared" si="10"/>
        <v>0</v>
      </c>
      <c r="F82" s="22">
        <f t="shared" si="11"/>
        <v>0</v>
      </c>
    </row>
    <row r="83" spans="1:6" x14ac:dyDescent="0.35">
      <c r="A83" s="11" t="s">
        <v>205</v>
      </c>
      <c r="B83" s="24">
        <v>1</v>
      </c>
      <c r="C83" s="22">
        <f t="shared" si="8"/>
        <v>1.0806250000000002</v>
      </c>
      <c r="D83" s="22">
        <f t="shared" si="9"/>
        <v>1.0806250000000002</v>
      </c>
      <c r="E83" s="22">
        <f t="shared" si="10"/>
        <v>0</v>
      </c>
      <c r="F83" s="22">
        <f t="shared" si="11"/>
        <v>0</v>
      </c>
    </row>
    <row r="84" spans="1:6" x14ac:dyDescent="0.35">
      <c r="A84" s="11" t="s">
        <v>183</v>
      </c>
      <c r="B84" s="24">
        <v>0.95</v>
      </c>
      <c r="C84" s="22">
        <f t="shared" si="8"/>
        <v>1.02659375</v>
      </c>
      <c r="D84" s="22">
        <f t="shared" si="9"/>
        <v>1.02659375</v>
      </c>
      <c r="E84" s="22">
        <f t="shared" si="10"/>
        <v>0</v>
      </c>
      <c r="F84" s="22">
        <f t="shared" si="11"/>
        <v>0</v>
      </c>
    </row>
    <row r="85" spans="1:6" x14ac:dyDescent="0.35">
      <c r="A85" s="11" t="s">
        <v>206</v>
      </c>
      <c r="B85" s="24">
        <v>0.9</v>
      </c>
      <c r="C85" s="22">
        <f t="shared" si="8"/>
        <v>0.97256250000000011</v>
      </c>
      <c r="D85" s="22">
        <f t="shared" si="9"/>
        <v>0.97256250000000011</v>
      </c>
      <c r="E85" s="22">
        <f t="shared" si="10"/>
        <v>0</v>
      </c>
      <c r="F85" s="22">
        <f t="shared" si="11"/>
        <v>0</v>
      </c>
    </row>
    <row r="86" spans="1:6" x14ac:dyDescent="0.35">
      <c r="A86" s="11" t="s">
        <v>173</v>
      </c>
      <c r="B86" s="24">
        <v>0.95</v>
      </c>
      <c r="C86" s="22">
        <f t="shared" si="8"/>
        <v>0.95909374999999997</v>
      </c>
      <c r="D86" s="22">
        <f t="shared" si="9"/>
        <v>1.02659375</v>
      </c>
      <c r="E86" s="22">
        <f t="shared" si="10"/>
        <v>-6.7500000000000004E-2</v>
      </c>
      <c r="F86" s="22">
        <f t="shared" si="11"/>
        <v>0</v>
      </c>
    </row>
    <row r="87" spans="1:6" x14ac:dyDescent="0.35">
      <c r="A87" s="17" t="s">
        <v>58</v>
      </c>
      <c r="B87" s="25">
        <f>SUM(B75:B86)</f>
        <v>11.999999999999998</v>
      </c>
      <c r="C87" s="23">
        <f>SUM(C75:C86)</f>
        <v>12.9</v>
      </c>
      <c r="D87" s="23">
        <f>SUM(D75:D86)</f>
        <v>12.9255</v>
      </c>
      <c r="E87" s="23">
        <f>SUM(E75:E86)</f>
        <v>-2.5500000000000002E-2</v>
      </c>
      <c r="F87" s="23">
        <f>SUM(F75:F86)</f>
        <v>0</v>
      </c>
    </row>
    <row r="88" spans="1:6" x14ac:dyDescent="0.35">
      <c r="A88" s="5" t="s">
        <v>207</v>
      </c>
      <c r="C88" s="13" t="str">
        <f>IF(AND(ABS(C87-C62)&lt;0.00005,ABS(D87-C63)&lt;0.00005,ABS(F87-C66)&lt;0.00005),"Pass","Fail")</f>
        <v>Pass</v>
      </c>
    </row>
    <row r="90" spans="1:6" x14ac:dyDescent="0.35">
      <c r="A90" s="4" t="s">
        <v>210</v>
      </c>
    </row>
    <row r="91" spans="1:6" x14ac:dyDescent="0.35">
      <c r="A91" s="5" t="s">
        <v>211</v>
      </c>
      <c r="C91" s="20">
        <v>30</v>
      </c>
    </row>
    <row r="92" spans="1:6" ht="25" x14ac:dyDescent="0.35">
      <c r="A92" s="5" t="s">
        <v>212</v>
      </c>
      <c r="C92" s="13" t="str">
        <f>IF(ABS(C23+C62-C91)&lt;0.00005,"Pass","Fail")</f>
        <v>Pass</v>
      </c>
    </row>
  </sheetData>
  <dataValidations count="2">
    <dataValidation type="list" sqref="C4" xr:uid="{00000000-0002-0000-0200-000000000000}">
      <formula1>"Yes,No"</formula1>
    </dataValidation>
    <dataValidation type="list" sqref="D53:D60 D10:D21" xr:uid="{00000000-0002-0000-0200-000001000000}">
      <formula1>"matched,timing,error,exposure,base"</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workbookViewId="0"/>
  </sheetViews>
  <sheetFormatPr defaultRowHeight="14.5" x14ac:dyDescent="0.35"/>
  <cols>
    <col min="1" max="1" width="38" customWidth="1"/>
    <col min="2" max="2" width="48" customWidth="1"/>
    <col min="3" max="3" width="12" customWidth="1"/>
    <col min="4" max="4" width="14" customWidth="1"/>
    <col min="5" max="6" width="12" customWidth="1"/>
    <col min="7" max="7" width="14" customWidth="1"/>
    <col min="8" max="8" width="12" customWidth="1"/>
    <col min="9" max="9" width="14" customWidth="1"/>
  </cols>
  <sheetData>
    <row r="1" spans="1:9" ht="24" customHeight="1" x14ac:dyDescent="0.4">
      <c r="A1" s="1" t="s">
        <v>213</v>
      </c>
      <c r="B1" s="2"/>
      <c r="C1" s="2"/>
      <c r="D1" s="2"/>
      <c r="E1" s="2"/>
      <c r="F1" s="2"/>
      <c r="G1" s="2"/>
      <c r="H1" s="2"/>
      <c r="I1" s="2"/>
    </row>
    <row r="2" spans="1:9" x14ac:dyDescent="0.35">
      <c r="A2" s="3" t="s">
        <v>214</v>
      </c>
    </row>
    <row r="3" spans="1:9" x14ac:dyDescent="0.35">
      <c r="A3" s="4" t="s">
        <v>215</v>
      </c>
    </row>
    <row r="4" spans="1:9" ht="26" x14ac:dyDescent="0.35">
      <c r="A4" s="9" t="s">
        <v>216</v>
      </c>
      <c r="B4" s="10" t="s">
        <v>217</v>
      </c>
      <c r="C4" s="10" t="s">
        <v>218</v>
      </c>
      <c r="D4" s="10" t="s">
        <v>219</v>
      </c>
      <c r="E4" s="10" t="s">
        <v>220</v>
      </c>
    </row>
    <row r="5" spans="1:9" x14ac:dyDescent="0.35">
      <c r="A5" s="11" t="s">
        <v>221</v>
      </c>
      <c r="B5" s="12">
        <v>2.7E-2</v>
      </c>
      <c r="C5" s="12">
        <v>2.7E-2</v>
      </c>
      <c r="D5" s="26">
        <v>2.7E-2</v>
      </c>
      <c r="E5" s="22">
        <f>B5-D5</f>
        <v>0</v>
      </c>
    </row>
    <row r="6" spans="1:9" x14ac:dyDescent="0.35">
      <c r="A6" s="11" t="s">
        <v>222</v>
      </c>
      <c r="B6" s="12">
        <v>4.0500000000000001E-2</v>
      </c>
      <c r="C6" s="12">
        <v>4.0500000000000001E-2</v>
      </c>
      <c r="D6" s="26">
        <v>0</v>
      </c>
      <c r="E6" s="22">
        <f>B6-D6</f>
        <v>4.0500000000000001E-2</v>
      </c>
    </row>
    <row r="7" spans="1:9" x14ac:dyDescent="0.35">
      <c r="A7" s="17" t="s">
        <v>223</v>
      </c>
      <c r="B7" s="23">
        <f>SUM(B5:B6)</f>
        <v>6.7500000000000004E-2</v>
      </c>
      <c r="C7" s="23">
        <f>SUM(C5:C6)</f>
        <v>6.7500000000000004E-2</v>
      </c>
      <c r="D7" s="23">
        <f>SUM(D5:D6)</f>
        <v>2.7E-2</v>
      </c>
      <c r="E7" s="23">
        <f>SUM(E5:E6)</f>
        <v>4.0500000000000001E-2</v>
      </c>
    </row>
    <row r="9" spans="1:9" x14ac:dyDescent="0.35">
      <c r="A9" s="4" t="s">
        <v>224</v>
      </c>
    </row>
    <row r="10" spans="1:9" ht="26" x14ac:dyDescent="0.35">
      <c r="A10" s="9" t="s">
        <v>225</v>
      </c>
      <c r="B10" s="10" t="s">
        <v>226</v>
      </c>
      <c r="C10" s="10" t="s">
        <v>227</v>
      </c>
      <c r="D10" s="10" t="s">
        <v>228</v>
      </c>
    </row>
    <row r="11" spans="1:9" x14ac:dyDescent="0.35">
      <c r="A11" s="11" t="s">
        <v>229</v>
      </c>
      <c r="B11" s="12">
        <v>9.4500000000000001E-3</v>
      </c>
      <c r="C11" s="12">
        <v>9.4500000000000001E-3</v>
      </c>
      <c r="D11" s="22">
        <f>B11-C11</f>
        <v>0</v>
      </c>
    </row>
    <row r="12" spans="1:9" x14ac:dyDescent="0.35">
      <c r="A12" s="11" t="s">
        <v>230</v>
      </c>
      <c r="B12" s="12">
        <v>4.0499999999999998E-3</v>
      </c>
      <c r="C12" s="12">
        <v>0</v>
      </c>
      <c r="D12" s="22">
        <f>B12-C12</f>
        <v>4.0499999999999998E-3</v>
      </c>
    </row>
    <row r="13" spans="1:9" x14ac:dyDescent="0.35">
      <c r="A13" s="17" t="s">
        <v>223</v>
      </c>
      <c r="B13" s="23">
        <f>SUM(B11:B12)</f>
        <v>1.35E-2</v>
      </c>
      <c r="C13" s="23">
        <f>SUM(C11:C12)</f>
        <v>9.4500000000000001E-3</v>
      </c>
      <c r="D13" s="23">
        <f>SUM(D11:D12)</f>
        <v>4.0499999999999998E-3</v>
      </c>
    </row>
    <row r="15" spans="1:9" x14ac:dyDescent="0.35">
      <c r="A15" s="4" t="s">
        <v>231</v>
      </c>
    </row>
    <row r="16" spans="1:9" ht="26" x14ac:dyDescent="0.35">
      <c r="A16" s="9" t="s">
        <v>232</v>
      </c>
      <c r="B16" s="10" t="s">
        <v>233</v>
      </c>
      <c r="C16" s="10" t="s">
        <v>234</v>
      </c>
      <c r="D16" s="10" t="s">
        <v>235</v>
      </c>
      <c r="E16" s="10" t="s">
        <v>236</v>
      </c>
      <c r="F16" s="10" t="s">
        <v>237</v>
      </c>
      <c r="G16" s="10" t="s">
        <v>238</v>
      </c>
      <c r="H16" s="10" t="s">
        <v>239</v>
      </c>
      <c r="I16" s="10" t="s">
        <v>240</v>
      </c>
    </row>
    <row r="17" spans="1:9" ht="25" x14ac:dyDescent="0.35">
      <c r="A17" s="5" t="s">
        <v>241</v>
      </c>
      <c r="B17" s="5" t="s">
        <v>242</v>
      </c>
      <c r="C17" s="11" t="s">
        <v>243</v>
      </c>
      <c r="D17" s="21">
        <v>0.02</v>
      </c>
      <c r="E17" s="12">
        <v>0.89</v>
      </c>
      <c r="F17" s="22">
        <f t="shared" ref="F17:F22" si="0">D17*E17</f>
        <v>1.78E-2</v>
      </c>
      <c r="G17" s="11"/>
      <c r="H17" s="21"/>
      <c r="I17" s="22">
        <f t="shared" ref="I17:I22" si="1">IF(ISNUMBER(H17),(H17-D17)*E17,0)</f>
        <v>0</v>
      </c>
    </row>
    <row r="18" spans="1:9" x14ac:dyDescent="0.35">
      <c r="A18" s="5" t="s">
        <v>244</v>
      </c>
      <c r="B18" s="5" t="s">
        <v>245</v>
      </c>
      <c r="C18" s="11" t="s">
        <v>243</v>
      </c>
      <c r="D18" s="21">
        <v>0.02</v>
      </c>
      <c r="E18" s="12">
        <v>0.43</v>
      </c>
      <c r="F18" s="22">
        <f t="shared" si="0"/>
        <v>8.6E-3</v>
      </c>
      <c r="G18" s="11"/>
      <c r="H18" s="21"/>
      <c r="I18" s="22">
        <f t="shared" si="1"/>
        <v>0</v>
      </c>
    </row>
    <row r="19" spans="1:9" x14ac:dyDescent="0.35">
      <c r="A19" s="5" t="s">
        <v>246</v>
      </c>
      <c r="B19" s="5" t="s">
        <v>247</v>
      </c>
      <c r="C19" s="11" t="s">
        <v>243</v>
      </c>
      <c r="D19" s="21">
        <v>0.02</v>
      </c>
      <c r="E19" s="12">
        <v>0.6</v>
      </c>
      <c r="F19" s="22">
        <f t="shared" si="0"/>
        <v>1.2E-2</v>
      </c>
      <c r="G19" s="11" t="s">
        <v>248</v>
      </c>
      <c r="H19" s="27">
        <v>0.1</v>
      </c>
      <c r="I19" s="22">
        <f t="shared" si="1"/>
        <v>4.8000000000000001E-2</v>
      </c>
    </row>
    <row r="20" spans="1:9" x14ac:dyDescent="0.35">
      <c r="A20" s="5" t="s">
        <v>249</v>
      </c>
      <c r="B20" s="5" t="s">
        <v>122</v>
      </c>
      <c r="C20" s="11" t="s">
        <v>248</v>
      </c>
      <c r="D20" s="21">
        <v>0.1</v>
      </c>
      <c r="E20" s="12">
        <v>0.36</v>
      </c>
      <c r="F20" s="22">
        <f t="shared" si="0"/>
        <v>3.5999999999999997E-2</v>
      </c>
      <c r="G20" s="11"/>
      <c r="H20" s="21"/>
      <c r="I20" s="22">
        <f t="shared" si="1"/>
        <v>0</v>
      </c>
    </row>
    <row r="21" spans="1:9" x14ac:dyDescent="0.35">
      <c r="A21" s="5" t="s">
        <v>250</v>
      </c>
      <c r="B21" s="5" t="s">
        <v>251</v>
      </c>
      <c r="C21" s="11" t="s">
        <v>252</v>
      </c>
      <c r="D21" s="21">
        <v>0.1</v>
      </c>
      <c r="E21" s="12">
        <v>0.3</v>
      </c>
      <c r="F21" s="22">
        <f t="shared" si="0"/>
        <v>0.03</v>
      </c>
      <c r="G21" s="11"/>
      <c r="H21" s="21"/>
      <c r="I21" s="22">
        <f t="shared" si="1"/>
        <v>0</v>
      </c>
    </row>
    <row r="22" spans="1:9" x14ac:dyDescent="0.35">
      <c r="A22" s="5" t="s">
        <v>253</v>
      </c>
      <c r="B22" s="5" t="s">
        <v>251</v>
      </c>
      <c r="C22" s="11" t="s">
        <v>252</v>
      </c>
      <c r="D22" s="21">
        <v>0.1</v>
      </c>
      <c r="E22" s="12">
        <v>0.36</v>
      </c>
      <c r="F22" s="22">
        <f t="shared" si="0"/>
        <v>3.5999999999999997E-2</v>
      </c>
      <c r="G22" s="11"/>
      <c r="H22" s="21"/>
      <c r="I22" s="22">
        <f t="shared" si="1"/>
        <v>0</v>
      </c>
    </row>
    <row r="23" spans="1:9" x14ac:dyDescent="0.35">
      <c r="A23" s="17" t="s">
        <v>223</v>
      </c>
      <c r="E23" s="23">
        <f>SUM(E17:E22)</f>
        <v>2.9399999999999995</v>
      </c>
      <c r="F23" s="23">
        <f>SUM(F17:F22)</f>
        <v>0.1404</v>
      </c>
      <c r="I23" s="23">
        <f>SUM(I17:I22)</f>
        <v>4.8000000000000001E-2</v>
      </c>
    </row>
    <row r="25" spans="1:9" x14ac:dyDescent="0.35">
      <c r="A25" s="4" t="s">
        <v>254</v>
      </c>
    </row>
    <row r="26" spans="1:9" x14ac:dyDescent="0.35">
      <c r="A26" s="9" t="s">
        <v>158</v>
      </c>
      <c r="B26" s="10" t="s">
        <v>159</v>
      </c>
      <c r="C26" s="10" t="s">
        <v>160</v>
      </c>
      <c r="D26" s="10" t="s">
        <v>161</v>
      </c>
      <c r="E26" s="10" t="s">
        <v>163</v>
      </c>
    </row>
    <row r="27" spans="1:9" x14ac:dyDescent="0.35">
      <c r="A27" s="11" t="s">
        <v>165</v>
      </c>
      <c r="B27" s="5" t="s">
        <v>255</v>
      </c>
      <c r="C27" s="12">
        <v>1.62</v>
      </c>
      <c r="D27" s="14" t="s">
        <v>167</v>
      </c>
      <c r="E27" s="22">
        <f t="shared" ref="E27:E36" si="2">IF(D27="matched",0,C27)</f>
        <v>0</v>
      </c>
    </row>
    <row r="28" spans="1:9" x14ac:dyDescent="0.35">
      <c r="A28" s="11" t="s">
        <v>165</v>
      </c>
      <c r="B28" s="5" t="s">
        <v>256</v>
      </c>
      <c r="C28" s="12">
        <v>0.63</v>
      </c>
      <c r="D28" s="14" t="s">
        <v>167</v>
      </c>
      <c r="E28" s="22">
        <f t="shared" si="2"/>
        <v>0</v>
      </c>
    </row>
    <row r="29" spans="1:9" x14ac:dyDescent="0.35">
      <c r="A29" s="11" t="s">
        <v>165</v>
      </c>
      <c r="B29" s="5" t="s">
        <v>257</v>
      </c>
      <c r="C29" s="12">
        <v>0.95</v>
      </c>
      <c r="D29" s="14" t="s">
        <v>167</v>
      </c>
      <c r="E29" s="22">
        <f t="shared" si="2"/>
        <v>0</v>
      </c>
    </row>
    <row r="30" spans="1:9" ht="25" x14ac:dyDescent="0.35">
      <c r="A30" s="11" t="s">
        <v>165</v>
      </c>
      <c r="B30" s="5" t="s">
        <v>258</v>
      </c>
      <c r="C30" s="12">
        <v>0.05</v>
      </c>
      <c r="D30" s="14" t="s">
        <v>172</v>
      </c>
      <c r="E30" s="22">
        <f t="shared" si="2"/>
        <v>0.05</v>
      </c>
    </row>
    <row r="31" spans="1:9" x14ac:dyDescent="0.35">
      <c r="A31" s="11" t="s">
        <v>165</v>
      </c>
      <c r="B31" s="5" t="s">
        <v>259</v>
      </c>
      <c r="C31" s="12">
        <v>0.02</v>
      </c>
      <c r="D31" s="14" t="s">
        <v>182</v>
      </c>
      <c r="E31" s="22">
        <f t="shared" si="2"/>
        <v>0.02</v>
      </c>
    </row>
    <row r="32" spans="1:9" x14ac:dyDescent="0.35">
      <c r="A32" s="11" t="s">
        <v>165</v>
      </c>
      <c r="B32" s="5" t="s">
        <v>260</v>
      </c>
      <c r="C32" s="12">
        <v>0.01</v>
      </c>
      <c r="D32" s="14" t="s">
        <v>261</v>
      </c>
      <c r="E32" s="22">
        <f t="shared" si="2"/>
        <v>0.01</v>
      </c>
    </row>
    <row r="33" spans="1:5" x14ac:dyDescent="0.35">
      <c r="A33" s="11" t="s">
        <v>262</v>
      </c>
      <c r="B33" s="5" t="s">
        <v>263</v>
      </c>
      <c r="C33" s="12">
        <v>1.62</v>
      </c>
      <c r="D33" s="14" t="s">
        <v>167</v>
      </c>
      <c r="E33" s="22">
        <f t="shared" si="2"/>
        <v>0</v>
      </c>
    </row>
    <row r="34" spans="1:5" x14ac:dyDescent="0.35">
      <c r="A34" s="11" t="s">
        <v>262</v>
      </c>
      <c r="B34" s="5" t="s">
        <v>264</v>
      </c>
      <c r="C34" s="12">
        <v>0.63</v>
      </c>
      <c r="D34" s="14" t="s">
        <v>167</v>
      </c>
      <c r="E34" s="22">
        <f t="shared" si="2"/>
        <v>0</v>
      </c>
    </row>
    <row r="35" spans="1:5" x14ac:dyDescent="0.35">
      <c r="A35" s="11" t="s">
        <v>262</v>
      </c>
      <c r="B35" s="5" t="s">
        <v>265</v>
      </c>
      <c r="C35" s="12">
        <v>0.95</v>
      </c>
      <c r="D35" s="14" t="s">
        <v>167</v>
      </c>
      <c r="E35" s="22">
        <f t="shared" si="2"/>
        <v>0</v>
      </c>
    </row>
    <row r="36" spans="1:5" x14ac:dyDescent="0.35">
      <c r="A36" s="11" t="s">
        <v>262</v>
      </c>
      <c r="B36" s="5" t="s">
        <v>266</v>
      </c>
      <c r="C36" s="12">
        <v>0.03</v>
      </c>
      <c r="D36" s="14" t="s">
        <v>172</v>
      </c>
      <c r="E36" s="22">
        <f t="shared" si="2"/>
        <v>0.03</v>
      </c>
    </row>
    <row r="38" spans="1:5" x14ac:dyDescent="0.35">
      <c r="A38" s="5" t="s">
        <v>186</v>
      </c>
      <c r="C38" s="22">
        <f>SUMIFS(C27:C36,A27:A36,"Books")</f>
        <v>3.28</v>
      </c>
    </row>
    <row r="39" spans="1:5" x14ac:dyDescent="0.35">
      <c r="A39" s="5" t="s">
        <v>267</v>
      </c>
      <c r="C39" s="22">
        <f>SUMIFS(C27:C36,A27:A36,"GSTR-2B")</f>
        <v>3.23</v>
      </c>
    </row>
    <row r="40" spans="1:5" x14ac:dyDescent="0.35">
      <c r="A40" s="5" t="s">
        <v>188</v>
      </c>
      <c r="C40" s="22">
        <f>C38-C39</f>
        <v>4.9999999999999822E-2</v>
      </c>
    </row>
    <row r="41" spans="1:5" x14ac:dyDescent="0.35">
      <c r="A41" s="5" t="s">
        <v>189</v>
      </c>
      <c r="C41" s="22">
        <f>SUMIFS(E27:E36,A27:A36,"Books")-SUMIFS(E27:E36,A27:A36,"GSTR-2B")</f>
        <v>0.05</v>
      </c>
    </row>
    <row r="42" spans="1:5" x14ac:dyDescent="0.35">
      <c r="A42" s="17" t="s">
        <v>190</v>
      </c>
      <c r="C42" s="22">
        <f>C40-C41</f>
        <v>-1.8041124150158794E-16</v>
      </c>
    </row>
    <row r="43" spans="1:5" x14ac:dyDescent="0.35">
      <c r="A43" s="5" t="s">
        <v>268</v>
      </c>
      <c r="C43" s="12">
        <v>1.2E-2</v>
      </c>
    </row>
    <row r="44" spans="1:5" x14ac:dyDescent="0.35">
      <c r="A44" s="17" t="s">
        <v>269</v>
      </c>
      <c r="C44" s="22">
        <f>SUMIFS(C27:C36,D27:D36,"exposure")</f>
        <v>0.02</v>
      </c>
    </row>
  </sheetData>
  <dataValidations count="1">
    <dataValidation type="list" sqref="D27:D36" xr:uid="{00000000-0002-0000-0300-000000000000}">
      <formula1>"matched,timing,error,exposure"</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0"/>
  <sheetViews>
    <sheetView workbookViewId="0"/>
  </sheetViews>
  <sheetFormatPr defaultRowHeight="14.5" x14ac:dyDescent="0.35"/>
  <cols>
    <col min="1" max="1" width="52" customWidth="1"/>
    <col min="2" max="3" width="16" customWidth="1"/>
  </cols>
  <sheetData>
    <row r="1" spans="1:3" ht="24" customHeight="1" x14ac:dyDescent="0.4">
      <c r="A1" s="1" t="s">
        <v>270</v>
      </c>
      <c r="B1" s="2"/>
      <c r="C1" s="2"/>
    </row>
    <row r="2" spans="1:3" x14ac:dyDescent="0.35">
      <c r="A2" s="3" t="s">
        <v>271</v>
      </c>
    </row>
    <row r="4" spans="1:3" x14ac:dyDescent="0.35">
      <c r="A4" s="9" t="s">
        <v>272</v>
      </c>
      <c r="B4" s="10" t="s">
        <v>273</v>
      </c>
      <c r="C4" s="10" t="s">
        <v>274</v>
      </c>
    </row>
    <row r="5" spans="1:3" x14ac:dyDescent="0.35">
      <c r="A5" s="5" t="s">
        <v>66</v>
      </c>
      <c r="B5" s="12">
        <v>6.1396875</v>
      </c>
      <c r="C5" s="12">
        <v>2.7749999999999999</v>
      </c>
    </row>
    <row r="6" spans="1:3" x14ac:dyDescent="0.35">
      <c r="A6" s="5" t="s">
        <v>275</v>
      </c>
      <c r="B6" s="22">
        <f>B5*$B$23</f>
        <v>1.1051437499999999</v>
      </c>
      <c r="C6" s="22">
        <f>C5*$B$23</f>
        <v>0.49949999999999994</v>
      </c>
    </row>
    <row r="7" spans="1:3" x14ac:dyDescent="0.35">
      <c r="A7" s="5" t="s">
        <v>276</v>
      </c>
      <c r="B7" s="12">
        <v>1.5544763749999999</v>
      </c>
      <c r="C7" s="12">
        <v>0</v>
      </c>
    </row>
    <row r="8" spans="1:3" x14ac:dyDescent="0.35">
      <c r="A8" s="5" t="s">
        <v>277</v>
      </c>
      <c r="B8" s="22">
        <f>B7*$B$23</f>
        <v>0.27980574749999998</v>
      </c>
      <c r="C8" s="22">
        <f>C7*$B$23</f>
        <v>0</v>
      </c>
    </row>
    <row r="9" spans="1:3" x14ac:dyDescent="0.35">
      <c r="A9" s="5" t="s">
        <v>278</v>
      </c>
      <c r="B9" s="22">
        <f>B5*$B$24</f>
        <v>3.0698437500000002E-2</v>
      </c>
      <c r="C9" s="12">
        <v>0</v>
      </c>
    </row>
    <row r="10" spans="1:3" x14ac:dyDescent="0.35">
      <c r="A10" s="5" t="s">
        <v>279</v>
      </c>
      <c r="B10" s="22">
        <f>B5*$B$25</f>
        <v>6.1396875000000002E-3</v>
      </c>
      <c r="C10" s="22">
        <f>C5*$B$26</f>
        <v>2.7750000000000001E-3</v>
      </c>
    </row>
    <row r="11" spans="1:3" x14ac:dyDescent="0.35">
      <c r="A11" s="17" t="s">
        <v>280</v>
      </c>
      <c r="B11" s="22">
        <f>B5+B6-B7-B8-B9-B10</f>
        <v>5.3737110024999994</v>
      </c>
      <c r="C11" s="22">
        <f>C5+C6-C7-C8-C9-C10</f>
        <v>3.2717249999999996</v>
      </c>
    </row>
    <row r="12" spans="1:3" x14ac:dyDescent="0.35">
      <c r="A12" s="5" t="s">
        <v>281</v>
      </c>
      <c r="B12" s="22">
        <f>B29*B27/B28</f>
        <v>0.50358807573369557</v>
      </c>
      <c r="C12" s="22">
        <f>C29*C27/C28</f>
        <v>1.4506304347826087</v>
      </c>
    </row>
    <row r="13" spans="1:3" x14ac:dyDescent="0.35">
      <c r="A13" s="5" t="s">
        <v>282</v>
      </c>
      <c r="B13" s="22">
        <f>B11*B27/B28</f>
        <v>0.64250892421195649</v>
      </c>
      <c r="C13" s="22">
        <f>(C5+C6)*C27/C28</f>
        <v>1.8508043478260869</v>
      </c>
    </row>
    <row r="14" spans="1:3" x14ac:dyDescent="0.35">
      <c r="A14" s="17" t="s">
        <v>283</v>
      </c>
      <c r="B14" s="22">
        <f>B11+B12-B13</f>
        <v>5.2347901540217388</v>
      </c>
      <c r="C14" s="22">
        <f>C11+C12-C13</f>
        <v>2.8715510869565213</v>
      </c>
    </row>
    <row r="15" spans="1:3" x14ac:dyDescent="0.35">
      <c r="A15" s="5" t="s">
        <v>284</v>
      </c>
      <c r="B15" s="12">
        <v>5.1327901540217393</v>
      </c>
      <c r="C15" s="12">
        <v>2.8715510869565208</v>
      </c>
    </row>
    <row r="16" spans="1:3" x14ac:dyDescent="0.35">
      <c r="A16" s="17" t="s">
        <v>285</v>
      </c>
      <c r="B16" s="22">
        <f>B14-B15</f>
        <v>0.10199999999999942</v>
      </c>
      <c r="C16" s="22">
        <f>C14-C15</f>
        <v>0</v>
      </c>
    </row>
    <row r="17" spans="1:3" x14ac:dyDescent="0.35">
      <c r="A17" s="5" t="s">
        <v>286</v>
      </c>
      <c r="B17" s="12">
        <v>0.06</v>
      </c>
      <c r="C17" s="12">
        <v>0</v>
      </c>
    </row>
    <row r="18" spans="1:3" x14ac:dyDescent="0.35">
      <c r="A18" s="5" t="s">
        <v>287</v>
      </c>
      <c r="B18" s="12">
        <v>0.03</v>
      </c>
      <c r="C18" s="12">
        <v>0</v>
      </c>
    </row>
    <row r="19" spans="1:3" x14ac:dyDescent="0.35">
      <c r="A19" s="17" t="s">
        <v>288</v>
      </c>
      <c r="B19" s="22">
        <f>B16-B17-B18</f>
        <v>1.1999999999999428E-2</v>
      </c>
      <c r="C19" s="22">
        <f>C16-C17-C18</f>
        <v>0</v>
      </c>
    </row>
    <row r="20" spans="1:3" x14ac:dyDescent="0.35">
      <c r="A20" s="5" t="s">
        <v>191</v>
      </c>
      <c r="B20" s="13" t="str">
        <f>IF(ABS(B19)&lt;=$B$30+0.000000001,"Yes","No")</f>
        <v>Yes</v>
      </c>
      <c r="C20" s="13" t="str">
        <f>IF(ABS(C19)&lt;=$B$30+0.000000001,"Yes","No")</f>
        <v>Yes</v>
      </c>
    </row>
    <row r="22" spans="1:3" x14ac:dyDescent="0.35">
      <c r="A22" s="4" t="s">
        <v>289</v>
      </c>
    </row>
    <row r="23" spans="1:3" x14ac:dyDescent="0.35">
      <c r="A23" s="5" t="s">
        <v>156</v>
      </c>
      <c r="B23" s="21">
        <v>0.18</v>
      </c>
    </row>
    <row r="24" spans="1:3" x14ac:dyDescent="0.35">
      <c r="A24" s="5" t="s">
        <v>290</v>
      </c>
      <c r="B24" s="21">
        <v>5.0000000000000001E-3</v>
      </c>
    </row>
    <row r="25" spans="1:3" x14ac:dyDescent="0.35">
      <c r="A25" s="5" t="s">
        <v>291</v>
      </c>
      <c r="B25" s="21">
        <v>1E-3</v>
      </c>
    </row>
    <row r="26" spans="1:3" x14ac:dyDescent="0.35">
      <c r="A26" s="5" t="s">
        <v>292</v>
      </c>
      <c r="B26" s="21">
        <v>1E-3</v>
      </c>
    </row>
    <row r="27" spans="1:3" x14ac:dyDescent="0.35">
      <c r="A27" s="5" t="s">
        <v>293</v>
      </c>
      <c r="B27" s="28">
        <v>11</v>
      </c>
      <c r="C27" s="28">
        <v>52</v>
      </c>
    </row>
    <row r="28" spans="1:3" x14ac:dyDescent="0.35">
      <c r="A28" s="5" t="s">
        <v>294</v>
      </c>
      <c r="B28" s="28">
        <v>92</v>
      </c>
      <c r="C28" s="28">
        <v>92</v>
      </c>
    </row>
    <row r="29" spans="1:3" x14ac:dyDescent="0.35">
      <c r="A29" s="5" t="s">
        <v>295</v>
      </c>
      <c r="B29" s="12">
        <v>4.2118275424999991</v>
      </c>
      <c r="C29" s="12">
        <v>2.5665</v>
      </c>
    </row>
    <row r="30" spans="1:3" x14ac:dyDescent="0.35">
      <c r="A30" s="5" t="s">
        <v>296</v>
      </c>
      <c r="B30" s="12">
        <v>0.05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workbookViewId="0"/>
  </sheetViews>
  <sheetFormatPr defaultRowHeight="14.5" x14ac:dyDescent="0.35"/>
  <cols>
    <col min="1" max="1" width="8" customWidth="1"/>
    <col min="2" max="2" width="56" customWidth="1"/>
    <col min="3" max="3" width="22" customWidth="1"/>
    <col min="4" max="6" width="12" customWidth="1"/>
    <col min="7" max="7" width="8" customWidth="1"/>
  </cols>
  <sheetData>
    <row r="1" spans="1:7" ht="24" customHeight="1" x14ac:dyDescent="0.4">
      <c r="A1" s="1" t="s">
        <v>297</v>
      </c>
      <c r="B1" s="2"/>
      <c r="C1" s="2"/>
      <c r="D1" s="2"/>
      <c r="E1" s="2"/>
      <c r="F1" s="2"/>
      <c r="G1" s="2"/>
    </row>
    <row r="2" spans="1:7" x14ac:dyDescent="0.35">
      <c r="A2" s="3" t="s">
        <v>298</v>
      </c>
    </row>
    <row r="4" spans="1:7" x14ac:dyDescent="0.35">
      <c r="A4" s="9" t="s">
        <v>299</v>
      </c>
      <c r="B4" s="10" t="s">
        <v>159</v>
      </c>
      <c r="C4" s="10" t="s">
        <v>300</v>
      </c>
      <c r="D4" s="10" t="s">
        <v>301</v>
      </c>
      <c r="E4" s="10" t="s">
        <v>302</v>
      </c>
      <c r="F4" s="10" t="s">
        <v>161</v>
      </c>
      <c r="G4" s="10" t="s">
        <v>303</v>
      </c>
    </row>
    <row r="5" spans="1:7" x14ac:dyDescent="0.35">
      <c r="A5" s="11" t="s">
        <v>304</v>
      </c>
      <c r="B5" s="5" t="s">
        <v>171</v>
      </c>
      <c r="C5" s="11" t="s">
        <v>23</v>
      </c>
      <c r="D5" s="12">
        <v>0.1125</v>
      </c>
      <c r="E5" s="12">
        <v>0</v>
      </c>
      <c r="F5" s="14" t="s">
        <v>172</v>
      </c>
      <c r="G5" s="11"/>
    </row>
    <row r="6" spans="1:7" x14ac:dyDescent="0.35">
      <c r="A6" s="11" t="s">
        <v>305</v>
      </c>
      <c r="B6" s="5" t="s">
        <v>179</v>
      </c>
      <c r="C6" s="11" t="s">
        <v>23</v>
      </c>
      <c r="D6" s="12">
        <v>7.0000000000000007E-2</v>
      </c>
      <c r="E6" s="12">
        <v>0</v>
      </c>
      <c r="F6" s="14" t="s">
        <v>172</v>
      </c>
      <c r="G6" s="11"/>
    </row>
    <row r="7" spans="1:7" x14ac:dyDescent="0.35">
      <c r="A7" s="11" t="s">
        <v>306</v>
      </c>
      <c r="B7" s="5" t="s">
        <v>307</v>
      </c>
      <c r="C7" s="11" t="s">
        <v>23</v>
      </c>
      <c r="D7" s="12">
        <v>0.4</v>
      </c>
      <c r="E7" s="12">
        <v>7.1999999999999995E-2</v>
      </c>
      <c r="F7" s="14" t="s">
        <v>182</v>
      </c>
      <c r="G7" s="11" t="s">
        <v>308</v>
      </c>
    </row>
    <row r="8" spans="1:7" x14ac:dyDescent="0.35">
      <c r="A8" s="11" t="s">
        <v>309</v>
      </c>
      <c r="B8" s="5" t="s">
        <v>310</v>
      </c>
      <c r="C8" s="11" t="s">
        <v>25</v>
      </c>
      <c r="D8" s="12">
        <v>4.0500000000000001E-2</v>
      </c>
      <c r="E8" s="12">
        <v>0</v>
      </c>
      <c r="F8" s="14" t="s">
        <v>261</v>
      </c>
      <c r="G8" s="11" t="s">
        <v>311</v>
      </c>
    </row>
    <row r="9" spans="1:7" x14ac:dyDescent="0.35">
      <c r="A9" s="11" t="s">
        <v>312</v>
      </c>
      <c r="B9" s="5" t="s">
        <v>313</v>
      </c>
      <c r="C9" s="11" t="s">
        <v>25</v>
      </c>
      <c r="D9" s="12">
        <v>4.0499999999999998E-3</v>
      </c>
      <c r="E9" s="12">
        <v>0</v>
      </c>
      <c r="F9" s="14" t="s">
        <v>261</v>
      </c>
      <c r="G9" s="11" t="s">
        <v>311</v>
      </c>
    </row>
    <row r="10" spans="1:7" x14ac:dyDescent="0.35">
      <c r="A10" s="11" t="s">
        <v>314</v>
      </c>
      <c r="B10" s="5" t="s">
        <v>315</v>
      </c>
      <c r="C10" s="11" t="s">
        <v>25</v>
      </c>
      <c r="D10" s="12">
        <v>4.8000000000000001E-2</v>
      </c>
      <c r="E10" s="12">
        <v>4.8000000000000001E-2</v>
      </c>
      <c r="F10" s="14" t="s">
        <v>182</v>
      </c>
      <c r="G10" s="11" t="s">
        <v>316</v>
      </c>
    </row>
    <row r="11" spans="1:7" x14ac:dyDescent="0.35">
      <c r="A11" s="11" t="s">
        <v>317</v>
      </c>
      <c r="B11" s="5" t="s">
        <v>318</v>
      </c>
      <c r="C11" s="11" t="s">
        <v>25</v>
      </c>
      <c r="D11" s="12">
        <v>0.05</v>
      </c>
      <c r="E11" s="12">
        <v>0</v>
      </c>
      <c r="F11" s="14" t="s">
        <v>172</v>
      </c>
      <c r="G11" s="11"/>
    </row>
    <row r="12" spans="1:7" x14ac:dyDescent="0.35">
      <c r="A12" s="11" t="s">
        <v>319</v>
      </c>
      <c r="B12" s="5" t="s">
        <v>320</v>
      </c>
      <c r="C12" s="11" t="s">
        <v>25</v>
      </c>
      <c r="D12" s="12">
        <v>0.03</v>
      </c>
      <c r="E12" s="12">
        <v>0</v>
      </c>
      <c r="F12" s="14" t="s">
        <v>172</v>
      </c>
      <c r="G12" s="11"/>
    </row>
    <row r="13" spans="1:7" x14ac:dyDescent="0.35">
      <c r="A13" s="11" t="s">
        <v>321</v>
      </c>
      <c r="B13" s="5" t="s">
        <v>322</v>
      </c>
      <c r="C13" s="11" t="s">
        <v>25</v>
      </c>
      <c r="D13" s="12">
        <v>0.02</v>
      </c>
      <c r="E13" s="12">
        <v>0.02</v>
      </c>
      <c r="F13" s="14" t="s">
        <v>182</v>
      </c>
      <c r="G13" s="11"/>
    </row>
    <row r="14" spans="1:7" x14ac:dyDescent="0.35">
      <c r="A14" s="11" t="s">
        <v>323</v>
      </c>
      <c r="B14" s="5" t="s">
        <v>324</v>
      </c>
      <c r="C14" s="11" t="s">
        <v>25</v>
      </c>
      <c r="D14" s="12">
        <v>0.01</v>
      </c>
      <c r="E14" s="12">
        <v>0</v>
      </c>
      <c r="F14" s="14" t="s">
        <v>261</v>
      </c>
      <c r="G14" s="11"/>
    </row>
    <row r="15" spans="1:7" x14ac:dyDescent="0.35">
      <c r="A15" s="11" t="s">
        <v>325</v>
      </c>
      <c r="B15" s="5" t="s">
        <v>326</v>
      </c>
      <c r="C15" s="11" t="s">
        <v>27</v>
      </c>
      <c r="D15" s="12">
        <v>0.06</v>
      </c>
      <c r="E15" s="12">
        <v>0</v>
      </c>
      <c r="F15" s="14" t="s">
        <v>261</v>
      </c>
      <c r="G15" s="11"/>
    </row>
    <row r="16" spans="1:7" x14ac:dyDescent="0.35">
      <c r="A16" s="11" t="s">
        <v>327</v>
      </c>
      <c r="B16" s="5" t="s">
        <v>287</v>
      </c>
      <c r="C16" s="11" t="s">
        <v>27</v>
      </c>
      <c r="D16" s="12">
        <v>0.03</v>
      </c>
      <c r="E16" s="12">
        <v>0</v>
      </c>
      <c r="F16" s="14" t="s">
        <v>172</v>
      </c>
      <c r="G16" s="11"/>
    </row>
    <row r="18" spans="2:5" x14ac:dyDescent="0.35">
      <c r="B18" s="17" t="s">
        <v>328</v>
      </c>
      <c r="D18" s="23">
        <f>SUMIFS(D5:D16,F5:F16,"timing")</f>
        <v>0.29249999999999998</v>
      </c>
    </row>
    <row r="19" spans="2:5" x14ac:dyDescent="0.35">
      <c r="B19" s="17" t="s">
        <v>329</v>
      </c>
      <c r="D19" s="23">
        <f>SUMIFS(D5:D16,F5:F16,"error")</f>
        <v>0.11455</v>
      </c>
    </row>
    <row r="20" spans="2:5" x14ac:dyDescent="0.35">
      <c r="B20" s="17" t="s">
        <v>330</v>
      </c>
      <c r="D20" s="23">
        <f>SUMIFS(D5:D16,F5:F16,"exposure")</f>
        <v>0.46800000000000003</v>
      </c>
    </row>
    <row r="21" spans="2:5" x14ac:dyDescent="0.35">
      <c r="B21" s="17" t="s">
        <v>331</v>
      </c>
      <c r="E21" s="23">
        <f>SUMIFS(E5:E16,F5:F16,"exposure")</f>
        <v>0.13999999999999999</v>
      </c>
    </row>
    <row r="22" spans="2:5" x14ac:dyDescent="0.35">
      <c r="B22" s="17" t="s">
        <v>332</v>
      </c>
      <c r="D22" s="29">
        <f>COUNTIF(F5:F16,"exposure")</f>
        <v>3</v>
      </c>
    </row>
  </sheetData>
  <dataValidations count="1">
    <dataValidation type="list" sqref="F5:F16" xr:uid="{00000000-0002-0000-0500-000000000000}">
      <formula1>"timing,error,exposure"</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workbookViewId="0"/>
  </sheetViews>
  <sheetFormatPr defaultRowHeight="14.5" x14ac:dyDescent="0.35"/>
  <cols>
    <col min="1" max="1" width="6" customWidth="1"/>
    <col min="2" max="2" width="120" customWidth="1"/>
  </cols>
  <sheetData>
    <row r="1" spans="1:2" ht="24" customHeight="1" x14ac:dyDescent="0.4">
      <c r="A1" s="1" t="s">
        <v>333</v>
      </c>
      <c r="B1" s="2"/>
    </row>
    <row r="2" spans="1:2" x14ac:dyDescent="0.35">
      <c r="A2" s="3" t="s">
        <v>334</v>
      </c>
    </row>
    <row r="4" spans="1:2" ht="25" x14ac:dyDescent="0.35">
      <c r="A4" s="5" t="s">
        <v>3</v>
      </c>
      <c r="B4" s="5" t="s">
        <v>335</v>
      </c>
    </row>
    <row r="5" spans="1:2" ht="25" x14ac:dyDescent="0.35">
      <c r="A5" s="5" t="s">
        <v>5</v>
      </c>
      <c r="B5" s="5" t="s">
        <v>336</v>
      </c>
    </row>
    <row r="6" spans="1:2" ht="37.5" x14ac:dyDescent="0.35">
      <c r="A6" s="5" t="s">
        <v>7</v>
      </c>
      <c r="B6" s="5" t="s">
        <v>337</v>
      </c>
    </row>
    <row r="7" spans="1:2" ht="37.5" x14ac:dyDescent="0.35">
      <c r="A7" s="5" t="s">
        <v>9</v>
      </c>
      <c r="B7" s="5" t="s">
        <v>338</v>
      </c>
    </row>
    <row r="8" spans="1:2" ht="25" x14ac:dyDescent="0.35">
      <c r="A8" s="5" t="s">
        <v>339</v>
      </c>
      <c r="B8" s="5" t="s">
        <v>340</v>
      </c>
    </row>
    <row r="9" spans="1:2" ht="25" x14ac:dyDescent="0.35">
      <c r="A9" s="5" t="s">
        <v>341</v>
      </c>
      <c r="B9" s="5" t="s">
        <v>342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workbookViewId="0"/>
  </sheetViews>
  <sheetFormatPr defaultRowHeight="14.5" x14ac:dyDescent="0.35"/>
  <cols>
    <col min="1" max="1" width="52" customWidth="1"/>
    <col min="2" max="3" width="16" customWidth="1"/>
    <col min="4" max="4" width="14" customWidth="1"/>
    <col min="5" max="6" width="12" customWidth="1"/>
  </cols>
  <sheetData>
    <row r="1" spans="1:6" ht="24" customHeight="1" x14ac:dyDescent="0.4">
      <c r="A1" s="1" t="s">
        <v>343</v>
      </c>
      <c r="B1" s="2"/>
      <c r="C1" s="2"/>
      <c r="D1" s="2"/>
      <c r="E1" s="2"/>
      <c r="F1" s="2"/>
    </row>
    <row r="2" spans="1:6" x14ac:dyDescent="0.35">
      <c r="A2" s="3" t="s">
        <v>344</v>
      </c>
    </row>
    <row r="3" spans="1:6" x14ac:dyDescent="0.35">
      <c r="A3" s="9" t="s">
        <v>345</v>
      </c>
      <c r="B3" s="10" t="s">
        <v>346</v>
      </c>
      <c r="C3" s="10" t="s">
        <v>347</v>
      </c>
      <c r="D3" s="10" t="s">
        <v>188</v>
      </c>
      <c r="E3" s="10" t="s">
        <v>348</v>
      </c>
      <c r="F3" s="10" t="s">
        <v>349</v>
      </c>
    </row>
    <row r="4" spans="1:6" x14ac:dyDescent="0.35">
      <c r="A4" s="5" t="s">
        <v>350</v>
      </c>
      <c r="B4" s="20">
        <v>30</v>
      </c>
      <c r="C4" s="30">
        <f>'01_TB_Map'!C35</f>
        <v>30</v>
      </c>
      <c r="D4" s="22">
        <f t="shared" ref="D4:D25" si="0">IF(ISNUMBER(C4),C4-B4,"")</f>
        <v>0</v>
      </c>
      <c r="E4" s="31" t="str">
        <f t="shared" ref="E4:E25" si="1">IF(NOT(ISNUMBER(C4)),"Not built",IF(ABS(D4)&lt;=F4+0.000000001,"Agrees","Check"))</f>
        <v>Agrees</v>
      </c>
      <c r="F4" s="12">
        <v>1E-4</v>
      </c>
    </row>
    <row r="5" spans="1:6" x14ac:dyDescent="0.35">
      <c r="A5" s="5" t="s">
        <v>351</v>
      </c>
      <c r="B5" s="21">
        <v>0.54</v>
      </c>
      <c r="C5" s="32">
        <f>'01_TB_Map'!D56</f>
        <v>0.53999999999999992</v>
      </c>
      <c r="D5" s="22">
        <f t="shared" si="0"/>
        <v>-1.1102230246251565E-16</v>
      </c>
      <c r="E5" s="31" t="str">
        <f t="shared" si="1"/>
        <v>Agrees</v>
      </c>
      <c r="F5" s="12">
        <v>5.0000000000000001E-4</v>
      </c>
    </row>
    <row r="6" spans="1:6" x14ac:dyDescent="0.35">
      <c r="A6" s="5" t="s">
        <v>352</v>
      </c>
      <c r="B6" s="21">
        <v>0.48599999999999999</v>
      </c>
      <c r="C6" s="32">
        <f>'01_TB_Map'!C56</f>
        <v>0.48599999999999993</v>
      </c>
      <c r="D6" s="22">
        <f t="shared" si="0"/>
        <v>-5.5511151231257827E-17</v>
      </c>
      <c r="E6" s="31" t="str">
        <f t="shared" si="1"/>
        <v>Agrees</v>
      </c>
      <c r="F6" s="12">
        <v>5.0000000000000001E-4</v>
      </c>
    </row>
    <row r="7" spans="1:6" x14ac:dyDescent="0.35">
      <c r="A7" s="5" t="s">
        <v>353</v>
      </c>
      <c r="B7" s="12">
        <v>17.100000000000001</v>
      </c>
      <c r="C7" s="33">
        <f>'02_Revenue_GST'!C23</f>
        <v>17.099999999999998</v>
      </c>
      <c r="D7" s="22">
        <f t="shared" si="0"/>
        <v>-3.5527136788005009E-15</v>
      </c>
      <c r="E7" s="31" t="str">
        <f t="shared" si="1"/>
        <v>Agrees</v>
      </c>
      <c r="F7" s="12">
        <v>1E-4</v>
      </c>
    </row>
    <row r="8" spans="1:6" x14ac:dyDescent="0.35">
      <c r="A8" s="5" t="s">
        <v>354</v>
      </c>
      <c r="B8" s="12">
        <v>16.704999999999998</v>
      </c>
      <c r="C8" s="33">
        <f>'02_Revenue_GST'!C24</f>
        <v>16.705000000000002</v>
      </c>
      <c r="D8" s="22">
        <f t="shared" si="0"/>
        <v>3.5527136788005009E-15</v>
      </c>
      <c r="E8" s="31" t="str">
        <f t="shared" si="1"/>
        <v>Agrees</v>
      </c>
      <c r="F8" s="12">
        <v>1E-4</v>
      </c>
    </row>
    <row r="9" spans="1:6" x14ac:dyDescent="0.35">
      <c r="A9" s="5" t="s">
        <v>355</v>
      </c>
      <c r="B9" s="12">
        <v>1.2E-2</v>
      </c>
      <c r="C9" s="33">
        <f>'02_Revenue_GST'!C27</f>
        <v>1.1999999999996014E-2</v>
      </c>
      <c r="D9" s="22">
        <f t="shared" si="0"/>
        <v>-3.9863945477947027E-15</v>
      </c>
      <c r="E9" s="31" t="str">
        <f t="shared" si="1"/>
        <v>Agrees</v>
      </c>
      <c r="F9" s="12">
        <v>1E-4</v>
      </c>
    </row>
    <row r="10" spans="1:6" x14ac:dyDescent="0.35">
      <c r="A10" s="5" t="s">
        <v>356</v>
      </c>
      <c r="B10" s="12">
        <v>0</v>
      </c>
      <c r="C10" s="33">
        <f>'02_Revenue_GST'!C66</f>
        <v>-9.6450625264310474E-16</v>
      </c>
      <c r="D10" s="22">
        <f t="shared" si="0"/>
        <v>-9.6450625264310474E-16</v>
      </c>
      <c r="E10" s="31" t="str">
        <f t="shared" si="1"/>
        <v>Agrees</v>
      </c>
      <c r="F10" s="12">
        <v>1E-4</v>
      </c>
    </row>
    <row r="11" spans="1:6" x14ac:dyDescent="0.35">
      <c r="A11" s="5" t="s">
        <v>357</v>
      </c>
      <c r="B11" s="12">
        <v>7.1999999999999995E-2</v>
      </c>
      <c r="C11" s="33">
        <f>'02_Revenue_GST'!C29</f>
        <v>7.1999999999999995E-2</v>
      </c>
      <c r="D11" s="22">
        <f t="shared" si="0"/>
        <v>0</v>
      </c>
      <c r="E11" s="31" t="str">
        <f t="shared" si="1"/>
        <v>Agrees</v>
      </c>
      <c r="F11" s="12">
        <v>1E-4</v>
      </c>
    </row>
    <row r="12" spans="1:6" x14ac:dyDescent="0.35">
      <c r="A12" s="5" t="s">
        <v>358</v>
      </c>
      <c r="B12" s="12">
        <v>4.0500000000000001E-2</v>
      </c>
      <c r="C12" s="33">
        <f>'03_Credits'!E6</f>
        <v>4.0500000000000001E-2</v>
      </c>
      <c r="D12" s="22">
        <f t="shared" si="0"/>
        <v>0</v>
      </c>
      <c r="E12" s="31" t="str">
        <f t="shared" si="1"/>
        <v>Agrees</v>
      </c>
      <c r="F12" s="12">
        <v>1E-4</v>
      </c>
    </row>
    <row r="13" spans="1:6" x14ac:dyDescent="0.35">
      <c r="A13" s="5" t="s">
        <v>359</v>
      </c>
      <c r="B13" s="12">
        <v>4.0499999999999998E-3</v>
      </c>
      <c r="C13" s="33">
        <f>'03_Credits'!D12</f>
        <v>4.0499999999999998E-3</v>
      </c>
      <c r="D13" s="22">
        <f t="shared" si="0"/>
        <v>0</v>
      </c>
      <c r="E13" s="31" t="str">
        <f t="shared" si="1"/>
        <v>Agrees</v>
      </c>
      <c r="F13" s="12">
        <v>1E-4</v>
      </c>
    </row>
    <row r="14" spans="1:6" x14ac:dyDescent="0.35">
      <c r="A14" s="5" t="s">
        <v>360</v>
      </c>
      <c r="B14" s="12">
        <v>0.1404</v>
      </c>
      <c r="C14" s="33">
        <f>'03_Credits'!F23</f>
        <v>0.1404</v>
      </c>
      <c r="D14" s="22">
        <f t="shared" si="0"/>
        <v>0</v>
      </c>
      <c r="E14" s="31" t="str">
        <f t="shared" si="1"/>
        <v>Agrees</v>
      </c>
      <c r="F14" s="12">
        <v>1E-4</v>
      </c>
    </row>
    <row r="15" spans="1:6" x14ac:dyDescent="0.35">
      <c r="A15" s="5" t="s">
        <v>361</v>
      </c>
      <c r="B15" s="12">
        <v>4.8000000000000001E-2</v>
      </c>
      <c r="C15" s="33">
        <f>'03_Credits'!I23</f>
        <v>4.8000000000000001E-2</v>
      </c>
      <c r="D15" s="22">
        <f t="shared" si="0"/>
        <v>0</v>
      </c>
      <c r="E15" s="31" t="str">
        <f t="shared" si="1"/>
        <v>Agrees</v>
      </c>
      <c r="F15" s="12">
        <v>1E-4</v>
      </c>
    </row>
    <row r="16" spans="1:6" x14ac:dyDescent="0.35">
      <c r="A16" s="5" t="s">
        <v>362</v>
      </c>
      <c r="B16" s="12">
        <v>0.02</v>
      </c>
      <c r="C16" s="33">
        <f>'03_Credits'!C44</f>
        <v>0.02</v>
      </c>
      <c r="D16" s="22">
        <f t="shared" si="0"/>
        <v>0</v>
      </c>
      <c r="E16" s="31" t="str">
        <f t="shared" si="1"/>
        <v>Agrees</v>
      </c>
      <c r="F16" s="12">
        <v>1E-4</v>
      </c>
    </row>
    <row r="17" spans="1:6" x14ac:dyDescent="0.35">
      <c r="A17" s="5" t="s">
        <v>363</v>
      </c>
      <c r="B17" s="12">
        <v>0</v>
      </c>
      <c r="C17" s="33">
        <f>'03_Credits'!C42</f>
        <v>-1.8041124150158794E-16</v>
      </c>
      <c r="D17" s="22">
        <f t="shared" si="0"/>
        <v>-1.8041124150158794E-16</v>
      </c>
      <c r="E17" s="31" t="str">
        <f t="shared" si="1"/>
        <v>Agrees</v>
      </c>
      <c r="F17" s="12">
        <v>1E-4</v>
      </c>
    </row>
    <row r="18" spans="1:6" x14ac:dyDescent="0.35">
      <c r="A18" s="5" t="s">
        <v>364</v>
      </c>
      <c r="B18" s="12">
        <v>5.2347901500000003</v>
      </c>
      <c r="C18" s="33">
        <f>'04_Proof_of_Cash'!B14</f>
        <v>5.2347901540217388</v>
      </c>
      <c r="D18" s="22">
        <f t="shared" si="0"/>
        <v>4.0217384977836446E-9</v>
      </c>
      <c r="E18" s="31" t="str">
        <f t="shared" si="1"/>
        <v>Agrees</v>
      </c>
      <c r="F18" s="12">
        <v>1E-4</v>
      </c>
    </row>
    <row r="19" spans="1:6" x14ac:dyDescent="0.35">
      <c r="A19" s="5" t="s">
        <v>365</v>
      </c>
      <c r="B19" s="12">
        <v>5.1327901499999999</v>
      </c>
      <c r="C19" s="33">
        <f>'04_Proof_of_Cash'!B15</f>
        <v>5.1327901540217393</v>
      </c>
      <c r="D19" s="22">
        <f t="shared" si="0"/>
        <v>4.0217393859620643E-9</v>
      </c>
      <c r="E19" s="31" t="str">
        <f t="shared" si="1"/>
        <v>Agrees</v>
      </c>
      <c r="F19" s="12">
        <v>1E-4</v>
      </c>
    </row>
    <row r="20" spans="1:6" x14ac:dyDescent="0.35">
      <c r="A20" s="5" t="s">
        <v>366</v>
      </c>
      <c r="B20" s="12">
        <v>1.2E-2</v>
      </c>
      <c r="C20" s="33">
        <f>'04_Proof_of_Cash'!B19</f>
        <v>1.1999999999999428E-2</v>
      </c>
      <c r="D20" s="22">
        <f t="shared" si="0"/>
        <v>-5.7245874707234634E-16</v>
      </c>
      <c r="E20" s="31" t="str">
        <f t="shared" si="1"/>
        <v>Agrees</v>
      </c>
      <c r="F20" s="12">
        <v>1E-4</v>
      </c>
    </row>
    <row r="21" spans="1:6" x14ac:dyDescent="0.35">
      <c r="A21" s="5" t="s">
        <v>367</v>
      </c>
      <c r="B21" s="12">
        <v>2.8715510900000001</v>
      </c>
      <c r="C21" s="33">
        <f>'04_Proof_of_Cash'!C14</f>
        <v>2.8715510869565213</v>
      </c>
      <c r="D21" s="22">
        <f t="shared" si="0"/>
        <v>-3.0434788023114834E-9</v>
      </c>
      <c r="E21" s="31" t="str">
        <f t="shared" si="1"/>
        <v>Agrees</v>
      </c>
      <c r="F21" s="12">
        <v>1E-4</v>
      </c>
    </row>
    <row r="22" spans="1:6" x14ac:dyDescent="0.35">
      <c r="A22" s="5" t="s">
        <v>368</v>
      </c>
      <c r="B22" s="12">
        <v>0.29249999999999998</v>
      </c>
      <c r="C22" s="33">
        <f>'05_Reconciling_Items'!D18</f>
        <v>0.29249999999999998</v>
      </c>
      <c r="D22" s="22">
        <f t="shared" si="0"/>
        <v>0</v>
      </c>
      <c r="E22" s="31" t="str">
        <f t="shared" si="1"/>
        <v>Agrees</v>
      </c>
      <c r="F22" s="12">
        <v>1E-4</v>
      </c>
    </row>
    <row r="23" spans="1:6" x14ac:dyDescent="0.35">
      <c r="A23" s="5" t="s">
        <v>369</v>
      </c>
      <c r="B23" s="12">
        <v>0.11455</v>
      </c>
      <c r="C23" s="33">
        <f>'05_Reconciling_Items'!D19</f>
        <v>0.11455</v>
      </c>
      <c r="D23" s="22">
        <f t="shared" si="0"/>
        <v>0</v>
      </c>
      <c r="E23" s="31" t="str">
        <f t="shared" si="1"/>
        <v>Agrees</v>
      </c>
      <c r="F23" s="12">
        <v>1E-4</v>
      </c>
    </row>
    <row r="24" spans="1:6" x14ac:dyDescent="0.35">
      <c r="A24" s="5" t="s">
        <v>370</v>
      </c>
      <c r="B24" s="12">
        <v>0.14000000000000001</v>
      </c>
      <c r="C24" s="33">
        <f>'05_Reconciling_Items'!E21</f>
        <v>0.13999999999999999</v>
      </c>
      <c r="D24" s="22">
        <f t="shared" si="0"/>
        <v>-2.7755575615628914E-17</v>
      </c>
      <c r="E24" s="31" t="str">
        <f t="shared" si="1"/>
        <v>Agrees</v>
      </c>
      <c r="F24" s="12">
        <v>1E-4</v>
      </c>
    </row>
    <row r="25" spans="1:6" x14ac:dyDescent="0.35">
      <c r="A25" s="5" t="s">
        <v>332</v>
      </c>
      <c r="B25" s="28">
        <v>3</v>
      </c>
      <c r="C25" s="34">
        <f>'05_Reconciling_Items'!D22</f>
        <v>3</v>
      </c>
      <c r="D25" s="22">
        <f t="shared" si="0"/>
        <v>0</v>
      </c>
      <c r="E25" s="31" t="str">
        <f t="shared" si="1"/>
        <v>Agrees</v>
      </c>
      <c r="F25" s="12">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01_TB_Map</vt:lpstr>
      <vt:lpstr>02_Revenue_GST</vt:lpstr>
      <vt:lpstr>03_Credits</vt:lpstr>
      <vt:lpstr>04_Proof_of_Cash</vt:lpstr>
      <vt:lpstr>05_Reconciling_Items</vt:lpstr>
      <vt:lpstr>06_AI_Spec</vt:lpstr>
      <vt:lpstr>07_Answer_Check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Anbuselvan A S</cp:lastModifiedBy>
  <dcterms:created xsi:type="dcterms:W3CDTF">2026-09-25T19:35:41Z</dcterms:created>
  <dcterms:modified xsi:type="dcterms:W3CDTF">2026-09-25T19:35:44Z</dcterms:modified>
</cp:coreProperties>
</file>