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nbuselvan\Projects\Dissent Courses\studio\public\courses\exposures-and-disclosure\"/>
    </mc:Choice>
  </mc:AlternateContent>
  <xr:revisionPtr revIDLastSave="0" documentId="13_ncr:1_{9852C1A1-1F74-4113-B4CC-D7811EDDAC52}" xr6:coauthVersionLast="47" xr6:coauthVersionMax="47" xr10:uidLastSave="{00000000-0000-0000-0000-000000000000}"/>
  <bookViews>
    <workbookView xWindow="2280" yWindow="2280" windowWidth="14400" windowHeight="8170" xr2:uid="{00000000-000D-0000-FFFF-FFFF00000000}"/>
  </bookViews>
  <sheets>
    <sheet name="ReadMe" sheetId="1" r:id="rId1"/>
    <sheet name="01_Register" sheetId="2" r:id="rId2"/>
    <sheet name="02_Calculator" sheetId="3" r:id="rId3"/>
    <sheet name="03_Tax" sheetId="4" r:id="rId4"/>
    <sheet name="04_Corporate_Labour" sheetId="5" r:id="rId5"/>
    <sheet name="05_Regularise_or_Disclose" sheetId="6" r:id="rId6"/>
    <sheet name="06_Warranty_Map" sheetId="7" r:id="rId7"/>
    <sheet name="07_AI_Spec" sheetId="8" r:id="rId8"/>
    <sheet name="08_Answer_Check"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8" i="9" l="1"/>
  <c r="D8" i="9" s="1"/>
  <c r="E8" i="9" s="1"/>
  <c r="B17" i="7"/>
  <c r="N15" i="7"/>
  <c r="M15" i="7"/>
  <c r="L15" i="7"/>
  <c r="K15" i="7"/>
  <c r="J15" i="7"/>
  <c r="I15" i="7"/>
  <c r="N14" i="7"/>
  <c r="M14" i="7"/>
  <c r="L14" i="7"/>
  <c r="K14" i="7"/>
  <c r="J14" i="7"/>
  <c r="I14" i="7"/>
  <c r="N13" i="7"/>
  <c r="M13" i="7"/>
  <c r="L13" i="7"/>
  <c r="K13" i="7"/>
  <c r="J13" i="7"/>
  <c r="I13" i="7"/>
  <c r="N12" i="7"/>
  <c r="M12" i="7"/>
  <c r="L12" i="7"/>
  <c r="K12" i="7"/>
  <c r="J12" i="7"/>
  <c r="I12" i="7"/>
  <c r="N11" i="7"/>
  <c r="M11" i="7"/>
  <c r="L11" i="7"/>
  <c r="K11" i="7"/>
  <c r="J11" i="7"/>
  <c r="I11" i="7"/>
  <c r="N10" i="7"/>
  <c r="M10" i="7"/>
  <c r="L10" i="7"/>
  <c r="K10" i="7"/>
  <c r="J10" i="7"/>
  <c r="I10" i="7"/>
  <c r="N9" i="7"/>
  <c r="M9" i="7"/>
  <c r="L9" i="7"/>
  <c r="K9" i="7"/>
  <c r="J9" i="7"/>
  <c r="I9" i="7"/>
  <c r="N8" i="7"/>
  <c r="M8" i="7"/>
  <c r="L8" i="7"/>
  <c r="K8" i="7"/>
  <c r="J8" i="7"/>
  <c r="I8" i="7"/>
  <c r="N7" i="7"/>
  <c r="M7" i="7"/>
  <c r="L7" i="7"/>
  <c r="K7" i="7"/>
  <c r="J7" i="7"/>
  <c r="I7" i="7"/>
  <c r="F15" i="6"/>
  <c r="F14" i="6"/>
  <c r="B31" i="5"/>
  <c r="E14" i="2" s="1"/>
  <c r="H14" i="2" s="1"/>
  <c r="B25" i="5"/>
  <c r="G13" i="2" s="1"/>
  <c r="H13" i="2" s="1"/>
  <c r="B9" i="5"/>
  <c r="B12" i="5" s="1"/>
  <c r="B48" i="4"/>
  <c r="B45" i="4"/>
  <c r="C43" i="4"/>
  <c r="C42" i="4"/>
  <c r="C41" i="4"/>
  <c r="C40" i="4"/>
  <c r="C39" i="4"/>
  <c r="C38" i="4"/>
  <c r="D37" i="4"/>
  <c r="E37" i="4" s="1"/>
  <c r="F37" i="4" s="1"/>
  <c r="C37" i="4"/>
  <c r="D36" i="4"/>
  <c r="E36" i="4" s="1"/>
  <c r="C36" i="4"/>
  <c r="D35" i="4"/>
  <c r="E35" i="4" s="1"/>
  <c r="F35" i="4" s="1"/>
  <c r="C35" i="4"/>
  <c r="D34" i="4"/>
  <c r="E34" i="4" s="1"/>
  <c r="F34" i="4" s="1"/>
  <c r="C34" i="4"/>
  <c r="D33" i="4"/>
  <c r="E33" i="4" s="1"/>
  <c r="F33" i="4" s="1"/>
  <c r="C33" i="4"/>
  <c r="D32" i="4"/>
  <c r="E32" i="4" s="1"/>
  <c r="F32" i="4" s="1"/>
  <c r="C32" i="4"/>
  <c r="D31" i="4"/>
  <c r="E31" i="4" s="1"/>
  <c r="C31" i="4"/>
  <c r="D30" i="4"/>
  <c r="E30" i="4" s="1"/>
  <c r="F30" i="4" s="1"/>
  <c r="C30" i="4"/>
  <c r="D29" i="4"/>
  <c r="E29" i="4" s="1"/>
  <c r="F29" i="4" s="1"/>
  <c r="C29" i="4"/>
  <c r="D28" i="4"/>
  <c r="E28" i="4" s="1"/>
  <c r="F28" i="4" s="1"/>
  <c r="C28" i="4"/>
  <c r="D27" i="4"/>
  <c r="E27" i="4" s="1"/>
  <c r="F27" i="4" s="1"/>
  <c r="C27" i="4"/>
  <c r="D26" i="4"/>
  <c r="E26" i="4" s="1"/>
  <c r="C26" i="4"/>
  <c r="B13" i="4"/>
  <c r="B11" i="3"/>
  <c r="B10" i="3"/>
  <c r="B6" i="3"/>
  <c r="H18" i="2"/>
  <c r="K17" i="2"/>
  <c r="H17" i="2"/>
  <c r="J16" i="2"/>
  <c r="H16" i="2"/>
  <c r="K11" i="2"/>
  <c r="E11" i="2"/>
  <c r="G10" i="2"/>
  <c r="B8" i="3" s="1"/>
  <c r="E10" i="2"/>
  <c r="B5" i="2"/>
  <c r="B10" i="4" s="1"/>
  <c r="B49" i="4" l="1"/>
  <c r="B18" i="7"/>
  <c r="B19" i="7" s="1"/>
  <c r="C9" i="9"/>
  <c r="D9" i="9" s="1"/>
  <c r="E9" i="9" s="1"/>
  <c r="F31" i="4"/>
  <c r="F36" i="4"/>
  <c r="B4" i="5"/>
  <c r="B17" i="5" s="1"/>
  <c r="B19" i="5" s="1"/>
  <c r="K16" i="2" s="1"/>
  <c r="K23" i="2" s="1"/>
  <c r="D40" i="4"/>
  <c r="E40" i="4" s="1"/>
  <c r="F40" i="4" s="1"/>
  <c r="B11" i="4"/>
  <c r="B12" i="4" s="1"/>
  <c r="D42" i="4"/>
  <c r="E42" i="4" s="1"/>
  <c r="F42" i="4" s="1"/>
  <c r="D43" i="4"/>
  <c r="E43" i="4" s="1"/>
  <c r="F43" i="4" s="1"/>
  <c r="D38" i="4"/>
  <c r="E38" i="4" s="1"/>
  <c r="F38" i="4" s="1"/>
  <c r="D39" i="4"/>
  <c r="E39" i="4" s="1"/>
  <c r="F39" i="4" s="1"/>
  <c r="D41" i="4"/>
  <c r="E41" i="4" s="1"/>
  <c r="F41" i="4" s="1"/>
  <c r="G15" i="2"/>
  <c r="H15" i="2" s="1"/>
  <c r="B13" i="5"/>
  <c r="J15" i="2" s="1"/>
  <c r="J22" i="2" s="1"/>
  <c r="C6" i="9" s="1"/>
  <c r="D6" i="9" s="1"/>
  <c r="E6" i="9" s="1"/>
  <c r="B51" i="4"/>
  <c r="I12" i="2" s="1"/>
  <c r="E12" i="2"/>
  <c r="C11" i="9"/>
  <c r="D11" i="9" s="1"/>
  <c r="E11" i="9" s="1"/>
  <c r="B14" i="6"/>
  <c r="E14" i="6" s="1"/>
  <c r="G14" i="6" s="1"/>
  <c r="H14" i="6" s="1"/>
  <c r="C16" i="9"/>
  <c r="D16" i="9" s="1"/>
  <c r="E16" i="9" s="1"/>
  <c r="C13" i="6"/>
  <c r="F13" i="6" s="1"/>
  <c r="G13" i="6" s="1"/>
  <c r="H13" i="6" s="1"/>
  <c r="C12" i="9"/>
  <c r="D12" i="9" s="1"/>
  <c r="E12" i="9" s="1"/>
  <c r="B13" i="6"/>
  <c r="E13" i="6" s="1"/>
  <c r="F26" i="4"/>
  <c r="B46" i="4" s="1"/>
  <c r="F11" i="2" s="1"/>
  <c r="H11" i="2" s="1"/>
  <c r="B13" i="3"/>
  <c r="B47" i="4"/>
  <c r="I11" i="2" s="1"/>
  <c r="I21" i="2" s="1"/>
  <c r="C5" i="9" s="1"/>
  <c r="D5" i="9" s="1"/>
  <c r="E5" i="9" s="1"/>
  <c r="C11" i="6" l="1"/>
  <c r="F11" i="6" s="1"/>
  <c r="B11" i="6"/>
  <c r="E11" i="6" s="1"/>
  <c r="C13" i="9"/>
  <c r="D13" i="9" s="1"/>
  <c r="E13" i="9" s="1"/>
  <c r="B15" i="6"/>
  <c r="E15" i="6" s="1"/>
  <c r="G15" i="6" s="1"/>
  <c r="H15" i="6" s="1"/>
  <c r="B50" i="4"/>
  <c r="F12" i="2" s="1"/>
  <c r="H12" i="2" s="1"/>
  <c r="F10" i="2"/>
  <c r="B14" i="4"/>
  <c r="B7" i="3" l="1"/>
  <c r="H10" i="2"/>
  <c r="C10" i="6"/>
  <c r="F10" i="6" s="1"/>
  <c r="C10" i="9"/>
  <c r="D10" i="9" s="1"/>
  <c r="E10" i="9" s="1"/>
  <c r="B12" i="6"/>
  <c r="E12" i="6" s="1"/>
  <c r="C12" i="6"/>
  <c r="F12" i="6" s="1"/>
  <c r="G12" i="6" s="1"/>
  <c r="H12" i="6" s="1"/>
  <c r="G11" i="6"/>
  <c r="H11" i="6" s="1"/>
  <c r="B10" i="6" l="1"/>
  <c r="E10" i="6" s="1"/>
  <c r="H18" i="6" s="1"/>
  <c r="H20" i="2"/>
  <c r="C4" i="9" s="1"/>
  <c r="D4" i="9" s="1"/>
  <c r="E4" i="9" s="1"/>
  <c r="B9" i="3"/>
  <c r="C7" i="9"/>
  <c r="D7" i="9" s="1"/>
  <c r="E7" i="9" s="1"/>
  <c r="C15" i="9" l="1"/>
  <c r="D15" i="9" s="1"/>
  <c r="E15" i="9" s="1"/>
  <c r="G10" i="6"/>
  <c r="H10" i="6" s="1"/>
  <c r="H17" i="6" s="1"/>
  <c r="C14" i="9" s="1"/>
  <c r="D14" i="9" s="1"/>
  <c r="E14" i="9" s="1"/>
  <c r="H19" i="6" l="1"/>
</calcChain>
</file>

<file path=xl/sharedStrings.xml><?xml version="1.0" encoding="utf-8"?>
<sst xmlns="http://schemas.openxmlformats.org/spreadsheetml/2006/main" count="360" uniqueCount="307">
  <si>
    <t>Kalasu Home Appliances Private Limited: exposure register</t>
  </si>
  <si>
    <t>Exposures and Disclosure, Dissent Advisory. Fictional company; every figure is constructed for teaching. Rs lakh unless a row says otherwise.</t>
  </si>
  <si>
    <t>How to use</t>
  </si>
  <si>
    <t>1</t>
  </si>
  <si>
    <t>Work alongside the course. Each worked example names the sheet it draws on.</t>
  </si>
  <si>
    <t>2</t>
  </si>
  <si>
    <t>Change a blue input or a yellow choice and everything downstream recalculates: the register, the calculator, the routes and the map.</t>
  </si>
  <si>
    <t>3</t>
  </si>
  <si>
    <t>Compare the results with 08_Answer_Check. It flags any figure that differs from the course by more than its tolerance.</t>
  </si>
  <si>
    <t>4</t>
  </si>
  <si>
    <t>Example: set 01_Register B4 to closing and the late credit notes line moves to 9.46, as the final assessment asks.</t>
  </si>
  <si>
    <t>Colour legend</t>
  </si>
  <si>
    <t>Blue text</t>
  </si>
  <si>
    <t>Typed inputs from the case.</t>
  </si>
  <si>
    <t>Black text</t>
  </si>
  <si>
    <t>Formulas.</t>
  </si>
  <si>
    <t>Green text</t>
  </si>
  <si>
    <t>Links to another sheet.</t>
  </si>
  <si>
    <t>Yellow fill</t>
  </si>
  <si>
    <t>Choices the course invites you to change.</t>
  </si>
  <si>
    <t>Sheets</t>
  </si>
  <si>
    <t>01_Register</t>
  </si>
  <si>
    <t>Every exposure at the valuation date: principal, interest, penalty, class, limitation</t>
  </si>
  <si>
    <t>02_Calculator</t>
  </si>
  <si>
    <t>One exposure at a time, by year and Act, with the date as an input</t>
  </si>
  <si>
    <t>03_Tax</t>
  </si>
  <si>
    <t>The late credit notes, the TDS short deduction and Section 43B(h), with the contested readings as switches</t>
  </si>
  <si>
    <t>04_Corporate_Labour</t>
  </si>
  <si>
    <t>PAS-3, the Hoskote lease, the ESOP regrant, PF damages and gratuity, split between the company and its officers</t>
  </si>
  <si>
    <t>05_Regularise_or_Disclose</t>
  </si>
  <si>
    <t>The cost of each route at the buyer’s treatment, and what each leaves behind</t>
  </si>
  <si>
    <t>06_Warranty_Map</t>
  </si>
  <si>
    <t>Each exposure against the warranty heads it touches</t>
  </si>
  <si>
    <t>07_AI_Spec</t>
  </si>
  <si>
    <t>The specification for an AI tool</t>
  </si>
  <si>
    <t>08_Answer_Check</t>
  </si>
  <si>
    <t>Your figures against the course</t>
  </si>
  <si>
    <t>The case</t>
  </si>
  <si>
    <t>Product</t>
  </si>
  <si>
    <t>Small kitchen appliances, GST at 18%</t>
  </si>
  <si>
    <t>GMV the founders quote, FY26</t>
  </si>
  <si>
    <t>₹49.12 Cr</t>
  </si>
  <si>
    <t>Net revenue, FY26</t>
  </si>
  <si>
    <t>₹30.00 Cr: website 40%, marketplaces 45%, quick commerce 15%</t>
  </si>
  <si>
    <t>Contribution after marketing (CM3)</t>
  </si>
  <si>
    <t>₹3.39 Cr (11.3%)</t>
  </si>
  <si>
    <t>EBITDA, FY26</t>
  </si>
  <si>
    <t>Loss of ₹4.53 Cr</t>
  </si>
  <si>
    <t>Series A, April 2025</t>
  </si>
  <si>
    <t>₹40.00 Cr from a domestic Category II AIF</t>
  </si>
  <si>
    <t>Cash and investments, 31 March 2026</t>
  </si>
  <si>
    <t>₹32.59 Cr</t>
  </si>
  <si>
    <t>Framework and tax</t>
  </si>
  <si>
    <t>Accounting Standards; Section 115BAA, now Section 200, 25.168%</t>
  </si>
  <si>
    <t>Headcount</t>
  </si>
  <si>
    <t>50, all in Bengaluru</t>
  </si>
  <si>
    <t>Exposure register</t>
  </si>
  <si>
    <t>Every finding at the valuation date. Provisions are the company's; contingent penalties and the officers' amounts are disclosed, not priced.</t>
  </si>
  <si>
    <t>Valued at (termSheet, signing, closing)</t>
  </si>
  <si>
    <t>signing</t>
  </si>
  <si>
    <t>Valuation date</t>
  </si>
  <si>
    <t>GST on the late credit notes paid by DRC-03 before a notice (Yes, No)</t>
  </si>
  <si>
    <t>No</t>
  </si>
  <si>
    <t>The consultancy's certificate for FY26 in hand (Yes, No)</t>
  </si>
  <si>
    <t>Yes</t>
  </si>
  <si>
    <t>Issue</t>
  </si>
  <si>
    <t>Finding</t>
  </si>
  <si>
    <t>Period</t>
  </si>
  <si>
    <t>Law</t>
  </si>
  <si>
    <t>Principal</t>
  </si>
  <si>
    <t>Interest</t>
  </si>
  <si>
    <t>Penalty</t>
  </si>
  <si>
    <t>Total</t>
  </si>
  <si>
    <t>Contingent</t>
  </si>
  <si>
    <t>Officers</t>
  </si>
  <si>
    <t>Loss effect</t>
  </si>
  <si>
    <t>Class</t>
  </si>
  <si>
    <t>Clock</t>
  </si>
  <si>
    <t>I-01</t>
  </si>
  <si>
    <t>Output tax cut by credit notes issued after the Section 34 limit</t>
  </si>
  <si>
    <t>FY 2025-26</t>
  </si>
  <si>
    <t>CGST Act, ss34, 50 and 74A</t>
  </si>
  <si>
    <t>Provision</t>
  </si>
  <si>
    <t>Notice by 30 June 2030, on Section 74A’s reported 42 months</t>
  </si>
  <si>
    <t>I-09</t>
  </si>
  <si>
    <t>TDS short-deducted on the retainer, FY26</t>
  </si>
  <si>
    <t>1961 Act, ss194J, 201(1A), 271C and 40(a)(ia)</t>
  </si>
  <si>
    <t>Order by 31 March 2032 under Section 201(3), as reported</t>
  </si>
  <si>
    <t>TDS short-deducted on the retainer, April to September 2026</t>
  </si>
  <si>
    <t>Tax year 2026-27</t>
  </si>
  <si>
    <t>2025 Act, ss393 and 398</t>
  </si>
  <si>
    <t>Time limit under the 2025 Act not yet confirmed</t>
  </si>
  <si>
    <t>I-07</t>
  </si>
  <si>
    <t>Damages on the FY25 PF shortfall paid in December 2026</t>
  </si>
  <si>
    <t>FY 2024-25</t>
  </si>
  <si>
    <t>EPF Act, s14B and para 32A; Code on Social Security</t>
  </si>
  <si>
    <t>EPFO order; no time limit found in the Act</t>
  </si>
  <si>
    <t>I-08</t>
  </si>
  <si>
    <t>Gratuity below the actuarial valuation at 31 December 2026</t>
  </si>
  <si>
    <t>To 31 December 2026</t>
  </si>
  <si>
    <t>AS 15; Code on Social Security, s53</t>
  </si>
  <si>
    <t>Booked at the FY27 close</t>
  </si>
  <si>
    <t>I-11</t>
  </si>
  <si>
    <t>Penalty for the Series A PAS-3 filed 55 days late</t>
  </si>
  <si>
    <t>Companies Act, ss42(8), 42(9), 403 and 454</t>
  </si>
  <si>
    <t>Registrar’s order pending; applied for on 2 December 2026</t>
  </si>
  <si>
    <t>I-04</t>
  </si>
  <si>
    <t>Hoskote lease with a founder’s mother, above market, without Section 188 approval</t>
  </si>
  <si>
    <t>From April 2024</t>
  </si>
  <si>
    <t>Companies Act, s188; 1961 Act, s40A(2)(b)</t>
  </si>
  <si>
    <t>Remote</t>
  </si>
  <si>
    <t>Counsel’s note; the new lease is a condition precedent to closing</t>
  </si>
  <si>
    <t>I-03</t>
  </si>
  <si>
    <t>Small enterprise dues beyond 45 days at 31 March 2026</t>
  </si>
  <si>
    <t>1961 Act, s43B(h); 2025 Act, s37(2)(g); MSMED Act, ss16 and 23</t>
  </si>
  <si>
    <t>Closed: paid in May 2026, deductible in the year paid</t>
  </si>
  <si>
    <t>I-10</t>
  </si>
  <si>
    <t>Options granted before the approving resolution</t>
  </si>
  <si>
    <t>Companies Act, s62(1)(b); Rule 12</t>
  </si>
  <si>
    <t>Closed: regranted on 23 December 2026</t>
  </si>
  <si>
    <t>Provisions, on the company</t>
  </si>
  <si>
    <t>Contingent penalties, disclosed</t>
  </si>
  <si>
    <t>On the officers personally</t>
  </si>
  <si>
    <t>Cut to losses carried forward</t>
  </si>
  <si>
    <t>One exposure, by year and Act</t>
  </si>
  <si>
    <t>Pick a finding; the calculator sums its lines on 01_Register at that sheet's date and choices. Rs lakh.</t>
  </si>
  <si>
    <t>Finding (I-01, I-09, I-07, I-11, I-08)</t>
  </si>
  <si>
    <t>On the register</t>
  </si>
  <si>
    <t>Contingent penalty, disclosed</t>
  </si>
  <si>
    <t>Valued at</t>
  </si>
  <si>
    <t>Tax exposures by year and Act</t>
  </si>
  <si>
    <t>The late credit notes (CGST), the retainer's TDS by month and Act, and Section 43B(h). Rs lakh.</t>
  </si>
  <si>
    <t>Late credit notes, CGST Sections 34, 50 and 74A (FY 2025-26)</t>
  </si>
  <si>
    <t>Output tax cut in the January 2026 return</t>
  </si>
  <si>
    <t>GSTR-3B due date</t>
  </si>
  <si>
    <t>Interest rate, Section 50(1)</t>
  </si>
  <si>
    <t>Penalty rate, non-fraud</t>
  </si>
  <si>
    <t>Penalty floor (Rs 10,000)</t>
  </si>
  <si>
    <t>Days after the due date</t>
  </si>
  <si>
    <t>Penalty, unless paid before a notice</t>
  </si>
  <si>
    <t>Line total</t>
  </si>
  <si>
    <t>Notice by, on Section 74A's reported 42 months</t>
  </si>
  <si>
    <t>Retainer TDS: Rs 5.00 lakh on the first of each month, 2% deducted against 10%</t>
  </si>
  <si>
    <t>Monthly retainer</t>
  </si>
  <si>
    <t>Rate short</t>
  </si>
  <si>
    <t>Interest a month or part, Section 201(1A) and Section 398</t>
  </si>
  <si>
    <t>Consultancy's FY26 return filed</t>
  </si>
  <si>
    <t>Does the 30% disallowance reach a short deduction? (tekriwal, revenue)</t>
  </si>
  <si>
    <t>tekriwal</t>
  </si>
  <si>
    <t>Disallowance rate</t>
  </si>
  <si>
    <t>Credit</t>
  </si>
  <si>
    <t>Act</t>
  </si>
  <si>
    <t>Short</t>
  </si>
  <si>
    <t>Interest runs to</t>
  </si>
  <si>
    <t>Months or part</t>
  </si>
  <si>
    <t>1961</t>
  </si>
  <si>
    <t>2025</t>
  </si>
  <si>
    <t>FY26 principal (nil with the certificate)</t>
  </si>
  <si>
    <t>FY26 interest</t>
  </si>
  <si>
    <t>FY26 contingent penalty, Section 271C</t>
  </si>
  <si>
    <t>FY26 loss effect, on the revenue's reading without the certificate</t>
  </si>
  <si>
    <t>April to September 2026 principal</t>
  </si>
  <si>
    <t>April to September 2026 interest</t>
  </si>
  <si>
    <t>April to September 2026 contingent penalty, reported as Section 448</t>
  </si>
  <si>
    <t>Section 43B(h) and Section 37(2)(g): the Peenya batch paid in May 2026</t>
  </si>
  <si>
    <t>Section 16 interest paid, not deductible under Section 23 of the MSMED Act</t>
  </si>
  <si>
    <t>Corporate and labour exposures</t>
  </si>
  <si>
    <t>Split between the company and the individuals they fall on. Rs lakh.</t>
  </si>
  <si>
    <t>PAS-3, Sections 42(8), 42(9), 403 and 454</t>
  </si>
  <si>
    <t>Due</t>
  </si>
  <si>
    <t>Filed</t>
  </si>
  <si>
    <t>Days late</t>
  </si>
  <si>
    <t>Rs a day on each person</t>
  </si>
  <si>
    <t>Persons liable: the company and three directors</t>
  </si>
  <si>
    <t>On the company</t>
  </si>
  <si>
    <t>On the directors personally</t>
  </si>
  <si>
    <t>Hoskote lease, Section 188 and Section 40A(2)(b)</t>
  </si>
  <si>
    <t>Rent paid from</t>
  </si>
  <si>
    <t>Months of rent paid to the valuation date</t>
  </si>
  <si>
    <t>Excess over the market study, a month</t>
  </si>
  <si>
    <t>Excess to date, the loss effect of a disallowance</t>
  </si>
  <si>
    <t>Section 188(5) maximum, on the director who authorised it</t>
  </si>
  <si>
    <t>PF damages, Section 14B and para 32A</t>
  </si>
  <si>
    <t>FY25 shortfall, paid 11 December 2026 with Section 7Q interest</t>
  </si>
  <si>
    <t>Average delay, months</t>
  </si>
  <si>
    <t>Damages at 1% a month</t>
  </si>
  <si>
    <t>Gratuity, AS 15 and the Code on Social Security</t>
  </si>
  <si>
    <t>Booked at 31 December 2026</t>
  </si>
  <si>
    <t>Actuarial valuation at 31 December 2026</t>
  </si>
  <si>
    <t>Measured on (actuarial, book)</t>
  </si>
  <si>
    <t>actuarial</t>
  </si>
  <si>
    <t>Shortfall</t>
  </si>
  <si>
    <t>The order each rule requires</t>
  </si>
  <si>
    <t>Item</t>
  </si>
  <si>
    <t>Rule</t>
  </si>
  <si>
    <t>Status</t>
  </si>
  <si>
    <t>Series A allotment</t>
  </si>
  <si>
    <t>Return of allotment within 15 days of allotment</t>
  </si>
  <si>
    <t>Failed; penalty open</t>
  </si>
  <si>
    <t>ESOP grants</t>
  </si>
  <si>
    <t>Shareholders' resolution and investor consent before any grant</t>
  </si>
  <si>
    <t>Failed; cured by the regrant of 23 December 2026</t>
  </si>
  <si>
    <t>Hoskote lease</t>
  </si>
  <si>
    <t>Board approval before a related party contract off arm's length</t>
  </si>
  <si>
    <t>Failed; new lease approved, past with counsel</t>
  </si>
  <si>
    <t>FY25 PF</t>
  </si>
  <si>
    <t>PF on allowances paid to every employee</t>
  </si>
  <si>
    <t>Failed; cured on 11 December 2026, damages open</t>
  </si>
  <si>
    <t>Gratuity</t>
  </si>
  <si>
    <t>Actuarial valuation once the average workforce passes 50</t>
  </si>
  <si>
    <t>Open; to be booked</t>
  </si>
  <si>
    <t>POSH</t>
  </si>
  <si>
    <t>Internal Committee's annual report filed</t>
  </si>
  <si>
    <t>Failed; cured on 20 November 2026</t>
  </si>
  <si>
    <t>Regularise or disclose</t>
  </si>
  <si>
    <t>Each open line's cure against the cost of disclosing it at the buyer's treatment. Rs lakh at the register's date.</t>
  </si>
  <si>
    <t>Weeks to signing</t>
  </si>
  <si>
    <t>The buyer's tool (chip, escrow, indemnity)</t>
  </si>
  <si>
    <t>chip</t>
  </si>
  <si>
    <t>Cushion on a disclosed amount</t>
  </si>
  <si>
    <t>Escrow carry: 8% a year for two years</t>
  </si>
  <si>
    <t>Line</t>
  </si>
  <si>
    <t>Exposure</t>
  </si>
  <si>
    <t>Cure</t>
  </si>
  <si>
    <t>Weeks</t>
  </si>
  <si>
    <t>Disclose</t>
  </si>
  <si>
    <t>Feasible</t>
  </si>
  <si>
    <t>Route</t>
  </si>
  <si>
    <t>Chosen</t>
  </si>
  <si>
    <t>Leaves behind</t>
  </si>
  <si>
    <t>I-01 GST on the late credit notes</t>
  </si>
  <si>
    <t>Nothing: no penalty arises once paid before a notice</t>
  </si>
  <si>
    <t>I-09 TDS interest, FY26</t>
  </si>
  <si>
    <t>The Section 271C question, answered by reasonable cause</t>
  </si>
  <si>
    <t>I-09 TDS shortfall and interest, April to September 2026</t>
  </si>
  <si>
    <t>The penalty question under the 2025 Act</t>
  </si>
  <si>
    <t>I-08 Gratuity below the actuarial figure</t>
  </si>
  <si>
    <t>Nothing: the buyer deducts the booked figure once</t>
  </si>
  <si>
    <t>I-07 PF damages on the FY25 shortfall</t>
  </si>
  <si>
    <t>None available</t>
  </si>
  <si>
    <t>The EPFO’s order, whenever it comes</t>
  </si>
  <si>
    <t>I-11 PAS-3 penalty, the company’s share</t>
  </si>
  <si>
    <t>The Registrar’s order</t>
  </si>
  <si>
    <t>Recommended routes</t>
  </si>
  <si>
    <t>Disclose everything</t>
  </si>
  <si>
    <t>Saved by regularising</t>
  </si>
  <si>
    <t>I-04 Hoskote lease: counsel first; not priced here.</t>
  </si>
  <si>
    <t>Warranty map</t>
  </si>
  <si>
    <t>Each matter against the warranty heads it touches (1 = touches). The approach decides which places are disclosed specifically.</t>
  </si>
  <si>
    <t>Specific disclosure (every, primary, dataRoom)</t>
  </si>
  <si>
    <t>every</t>
  </si>
  <si>
    <t>Matter</t>
  </si>
  <si>
    <t>Primary head</t>
  </si>
  <si>
    <t>Tax</t>
  </si>
  <si>
    <t>Compliance with laws</t>
  </si>
  <si>
    <t>Employment</t>
  </si>
  <si>
    <t>Related party transactions</t>
  </si>
  <si>
    <t>Share capital</t>
  </si>
  <si>
    <t>Accounts</t>
  </si>
  <si>
    <t>Specific: Tax</t>
  </si>
  <si>
    <t>Specific: Compliance with laws</t>
  </si>
  <si>
    <t>Specific: Employment</t>
  </si>
  <si>
    <t>Specific: Related party transactions</t>
  </si>
  <si>
    <t>Specific: Share capital</t>
  </si>
  <si>
    <t>Specific: Accounts</t>
  </si>
  <si>
    <t>I-01 Late credit notes</t>
  </si>
  <si>
    <t>I-09 TDS at the contract rate</t>
  </si>
  <si>
    <t>I-03 Small enterprise dues and Section 43B(h)</t>
  </si>
  <si>
    <t>I-07 FY25 PF and its damages</t>
  </si>
  <si>
    <t>I-08 Gratuity measurement</t>
  </si>
  <si>
    <t>I-11 Late PAS-3 and its penalty</t>
  </si>
  <si>
    <t>I-10 ESOP grants and the regrant</t>
  </si>
  <si>
    <t>I-04 Hoskote lease</t>
  </si>
  <si>
    <t>POSH POSH annual report filed late</t>
  </si>
  <si>
    <t>Places the matters touch</t>
  </si>
  <si>
    <t>Places disclosed specifically</t>
  </si>
  <si>
    <t>Specific coverage</t>
  </si>
  <si>
    <t>Matters that may move before closing</t>
  </si>
  <si>
    <t>Specification for an AI tool</t>
  </si>
  <si>
    <t>Attach this workbook and give the tool the text below. Score its answer against 08_Answer_Check.</t>
  </si>
  <si>
    <t>Company: Kalasu Home Appliances Private Limited, an unlisted Indian private company under Accounting Standards, signing a Series B on 15 March 2027. Build the exposure register valued at signing, in Rs lakh.</t>
  </si>
  <si>
    <t>For each finding give principal, interest and penalty separately, the AS 29 class with a reason, the clock, and the document that proves it. Cite the Income-tax Act, 1961 for FY26 and the 2025 Act from April 2026; CGST Section 74A for FY 2024-25 onwards.</t>
  </si>
  <si>
    <t>GST: interest at 18% a year from the day after the GSTR-3B due date; the non-fraud penalty at 10% of the tax or Rs 10,000 if higher, nil if paid before a notice.</t>
  </si>
  <si>
    <t>TDS: interest at 1% for each month or part of a month from each credit; with the payee's certificate, the FY26 principal falls away and interest stops at the payee's filing date. Carry the Section 271C penalty as contingent. State the disallowance on a short deduction as contested.</t>
  </si>
  <si>
    <t>5</t>
  </si>
  <si>
    <t>Split the PAS-3 penalty between the company and its directors; carry the Section 188(5) maximum on the director, not the company.</t>
  </si>
  <si>
    <t>6</t>
  </si>
  <si>
    <t>For each open line, cost regularising before signing against disclosing at the buyer's tool, check the cure's weeks against the time left, and say what each route leaves behind. Do not negotiate.</t>
  </si>
  <si>
    <t>Answer check</t>
  </si>
  <si>
    <t>Course figures against this workbook's formulas. A status of Agrees means the difference is within the tolerance.</t>
  </si>
  <si>
    <t>Figure</t>
  </si>
  <si>
    <t>Course figure</t>
  </si>
  <si>
    <t>This workbook</t>
  </si>
  <si>
    <t>Difference</t>
  </si>
  <si>
    <t>Tolerance</t>
  </si>
  <si>
    <t>Provisions on the register at signing, ₹ lakh</t>
  </si>
  <si>
    <t>Contingent penalties at signing, ₹ lakh</t>
  </si>
  <si>
    <t>On the officers personally, ₹ lakh</t>
  </si>
  <si>
    <t>Late credit notes at signing, unpaid, ₹ lakh</t>
  </si>
  <si>
    <t>Late credit notes at closing, unpaid, ₹ lakh</t>
  </si>
  <si>
    <t>TDS FY26 without the certificate, ₹ lakh</t>
  </si>
  <si>
    <t>TDS April to September 2026, ₹ lakh</t>
  </si>
  <si>
    <t>PF damages, ₹ lakh</t>
  </si>
  <si>
    <t>Gratuity shortfall, ₹ lakh</t>
  </si>
  <si>
    <t>PAS-3 penalty on the company, ₹ lakh</t>
  </si>
  <si>
    <t>Recommended routes, ₹ lakh</t>
  </si>
  <si>
    <t>Disclose everything, ₹ lakh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</si>
</sst>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d\ mmm\ yyyy"/>
    <numFmt numFmtId="166" formatCode="#,##0.00;\(#,##0.00\);&quot;-&quot;"/>
    <numFmt numFmtId="167" formatCode="0.0%;\(0.0%\);&quot;-&quot;"/>
    <numFmt numFmtId="168" formatCode="#,##0;\(#,##0\);&quot;-&quot;"/>
    <numFmt numFmtId="169" formatCode="#,##0.0000;\(#,##0.0000\);&quot;-&quot;"/>
    <numFmt numFmtId="170" formatCode="0.0&quot;x&quot;"/>
  </numFmts>
  <fonts count="7" x14ac:knownFonts="1">
    <font>
      <sz val="11"/>
      <color theme="1"/>
      <name val="Calibri"/>
      <family val="2"/>
      <scheme val="minor"/>
    </font>
    <font>
      <b/>
      <sz val="14"/>
      <color rgb="FFF3F4F5"/>
      <name val="Arial"/>
    </font>
    <font>
      <sz val="9"/>
      <color rgb="FF41627D"/>
      <name val="Arial"/>
    </font>
    <font>
      <b/>
      <sz val="10"/>
      <color rgb="FF000000"/>
      <name val="Arial"/>
    </font>
    <font>
      <sz val="10"/>
      <color rgb="FF000000"/>
      <name val="Arial"/>
    </font>
    <font>
      <sz val="10"/>
      <color rgb="FF0000FF"/>
      <name val="Arial"/>
    </font>
    <font>
      <sz val="10"/>
      <color rgb="FF008000"/>
      <name val="Arial"/>
    </font>
  </fonts>
  <fills count="5">
    <fill>
      <patternFill patternType="none"/>
    </fill>
    <fill>
      <patternFill patternType="gray125"/>
    </fill>
    <fill>
      <patternFill patternType="solid">
        <fgColor rgb="FF0C0C0F"/>
      </patternFill>
    </fill>
    <fill>
      <patternFill patternType="solid">
        <fgColor rgb="FFFFFF00"/>
      </patternFill>
    </fill>
    <fill>
      <patternFill patternType="solid">
        <fgColor rgb="FFEAEBEE"/>
      </patternFill>
    </fill>
  </fills>
  <borders count="1">
    <border>
      <left/>
      <right/>
      <top/>
      <bottom/>
      <diagonal/>
    </border>
  </borders>
  <cellStyleXfs count="1">
    <xf numFmtId="0" fontId="0" fillId="0" borderId="0"/>
  </cellStyleXfs>
  <cellXfs count="32">
    <xf numFmtId="0" fontId="0" fillId="0" borderId="0" xfId="0"/>
    <xf numFmtId="0" fontId="1" fillId="2" borderId="0" xfId="0" applyFont="1" applyFill="1"/>
    <xf numFmtId="0" fontId="0" fillId="2" borderId="0" xfId="0" applyFill="1"/>
    <xf numFmtId="0" fontId="2" fillId="0" borderId="0" xfId="0" applyFont="1"/>
    <xf numFmtId="0" fontId="3" fillId="0" borderId="0" xfId="0" applyFont="1"/>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3" borderId="0" xfId="0" applyFont="1" applyFill="1" applyAlignment="1">
      <alignment vertical="top" wrapText="1"/>
    </xf>
    <xf numFmtId="0" fontId="5" fillId="3" borderId="0" xfId="0" applyFont="1" applyFill="1" applyAlignment="1">
      <alignment horizontal="left"/>
    </xf>
    <xf numFmtId="164" fontId="4" fillId="0" borderId="0" xfId="0" applyNumberFormat="1" applyFont="1" applyAlignment="1">
      <alignment horizontal="right"/>
    </xf>
    <xf numFmtId="164" fontId="5" fillId="0" borderId="0" xfId="0" applyNumberFormat="1" applyFont="1" applyAlignment="1">
      <alignment horizontal="right"/>
    </xf>
    <xf numFmtId="0" fontId="3" fillId="4" borderId="0" xfId="0" applyFont="1" applyFill="1" applyAlignment="1">
      <alignment horizontal="left" vertical="center" wrapText="1"/>
    </xf>
    <xf numFmtId="0" fontId="3" fillId="4" borderId="0" xfId="0" applyFont="1" applyFill="1" applyAlignment="1">
      <alignment horizontal="right" vertical="center" wrapText="1"/>
    </xf>
    <xf numFmtId="169" fontId="6" fillId="0" borderId="0" xfId="0" applyNumberFormat="1" applyFont="1" applyAlignment="1">
      <alignment horizontal="right"/>
    </xf>
    <xf numFmtId="169" fontId="3" fillId="0" borderId="0" xfId="0" applyNumberFormat="1" applyFont="1" applyAlignment="1">
      <alignment horizontal="right"/>
    </xf>
    <xf numFmtId="169" fontId="5" fillId="0" borderId="0" xfId="0" applyNumberFormat="1" applyFont="1" applyAlignment="1">
      <alignment horizontal="right"/>
    </xf>
    <xf numFmtId="0" fontId="3" fillId="0" borderId="0" xfId="0" applyFont="1" applyAlignment="1">
      <alignment vertical="top" wrapText="1"/>
    </xf>
    <xf numFmtId="169" fontId="4" fillId="0" borderId="0" xfId="0" applyNumberFormat="1" applyFont="1" applyAlignment="1">
      <alignment horizontal="right"/>
    </xf>
    <xf numFmtId="164" fontId="6" fillId="0" borderId="0" xfId="0" applyNumberFormat="1" applyFont="1" applyAlignment="1">
      <alignment horizontal="right"/>
    </xf>
    <xf numFmtId="166" fontId="5" fillId="0" borderId="0" xfId="0" applyNumberFormat="1" applyFont="1" applyAlignment="1">
      <alignment horizontal="right"/>
    </xf>
    <xf numFmtId="167" fontId="5" fillId="0" borderId="0" xfId="0" applyNumberFormat="1" applyFont="1" applyAlignment="1">
      <alignment horizontal="right"/>
    </xf>
    <xf numFmtId="168" fontId="4" fillId="0" borderId="0" xfId="0" applyNumberFormat="1" applyFont="1" applyAlignment="1">
      <alignment horizontal="right"/>
    </xf>
    <xf numFmtId="164" fontId="5" fillId="0" borderId="0" xfId="0" applyNumberFormat="1" applyFont="1" applyAlignment="1">
      <alignment horizontal="left"/>
    </xf>
    <xf numFmtId="0" fontId="5" fillId="0" borderId="0" xfId="0" applyFont="1" applyAlignment="1">
      <alignment horizontal="right"/>
    </xf>
    <xf numFmtId="168" fontId="5" fillId="0" borderId="0" xfId="0" applyNumberFormat="1" applyFont="1" applyAlignment="1">
      <alignment horizontal="right"/>
    </xf>
    <xf numFmtId="168" fontId="5" fillId="3" borderId="0" xfId="0" applyNumberFormat="1" applyFont="1" applyFill="1" applyAlignment="1">
      <alignment horizontal="right"/>
    </xf>
    <xf numFmtId="170" fontId="5" fillId="3" borderId="0" xfId="0" applyNumberFormat="1" applyFont="1" applyFill="1" applyAlignment="1">
      <alignment horizontal="right"/>
    </xf>
    <xf numFmtId="0" fontId="4" fillId="0" borderId="0" xfId="0" applyFont="1" applyAlignment="1">
      <alignment horizontal="right"/>
    </xf>
    <xf numFmtId="168" fontId="3" fillId="0" borderId="0" xfId="0" applyNumberFormat="1" applyFont="1" applyAlignment="1">
      <alignment horizontal="right"/>
    </xf>
    <xf numFmtId="167" fontId="4" fillId="0" borderId="0" xfId="0" applyNumberFormat="1" applyFont="1" applyAlignment="1">
      <alignment horizontal="right"/>
    </xf>
    <xf numFmtId="168" fontId="6" fillId="0" borderId="0" xfId="0" applyNumberFormat="1" applyFont="1" applyAlignment="1">
      <alignment horizontal="righ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5"/>
  <sheetViews>
    <sheetView showGridLines="0" tabSelected="1" workbookViewId="0"/>
  </sheetViews>
  <sheetFormatPr defaultRowHeight="14.5" x14ac:dyDescent="0.35"/>
  <cols>
    <col min="1" max="1" width="34" customWidth="1"/>
    <col min="2" max="2" width="100" customWidth="1"/>
  </cols>
  <sheetData>
    <row r="1" spans="1:2" ht="24" customHeight="1" x14ac:dyDescent="0.4">
      <c r="A1" s="1" t="s">
        <v>0</v>
      </c>
      <c r="B1" s="2"/>
    </row>
    <row r="2" spans="1:2" x14ac:dyDescent="0.35">
      <c r="A2" s="3" t="s">
        <v>1</v>
      </c>
    </row>
    <row r="4" spans="1:2" x14ac:dyDescent="0.35">
      <c r="A4" s="4" t="s">
        <v>2</v>
      </c>
    </row>
    <row r="5" spans="1:2" x14ac:dyDescent="0.35">
      <c r="A5" s="5" t="s">
        <v>3</v>
      </c>
      <c r="B5" s="5" t="s">
        <v>4</v>
      </c>
    </row>
    <row r="6" spans="1:2" ht="25" x14ac:dyDescent="0.35">
      <c r="A6" s="5" t="s">
        <v>5</v>
      </c>
      <c r="B6" s="5" t="s">
        <v>6</v>
      </c>
    </row>
    <row r="7" spans="1:2" x14ac:dyDescent="0.35">
      <c r="A7" s="5" t="s">
        <v>7</v>
      </c>
      <c r="B7" s="5" t="s">
        <v>8</v>
      </c>
    </row>
    <row r="8" spans="1:2" x14ac:dyDescent="0.35">
      <c r="A8" s="5" t="s">
        <v>9</v>
      </c>
      <c r="B8" s="5" t="s">
        <v>10</v>
      </c>
    </row>
    <row r="10" spans="1:2" x14ac:dyDescent="0.35">
      <c r="A10" s="4" t="s">
        <v>11</v>
      </c>
    </row>
    <row r="11" spans="1:2" x14ac:dyDescent="0.35">
      <c r="A11" s="6" t="s">
        <v>12</v>
      </c>
      <c r="B11" s="5" t="s">
        <v>13</v>
      </c>
    </row>
    <row r="12" spans="1:2" x14ac:dyDescent="0.35">
      <c r="A12" s="5" t="s">
        <v>14</v>
      </c>
      <c r="B12" s="5" t="s">
        <v>15</v>
      </c>
    </row>
    <row r="13" spans="1:2" x14ac:dyDescent="0.35">
      <c r="A13" s="7" t="s">
        <v>16</v>
      </c>
      <c r="B13" s="5" t="s">
        <v>17</v>
      </c>
    </row>
    <row r="14" spans="1:2" x14ac:dyDescent="0.35">
      <c r="A14" s="8" t="s">
        <v>18</v>
      </c>
      <c r="B14" s="5" t="s">
        <v>19</v>
      </c>
    </row>
    <row r="16" spans="1:2" x14ac:dyDescent="0.35">
      <c r="A16" s="4" t="s">
        <v>20</v>
      </c>
    </row>
    <row r="17" spans="1:2" x14ac:dyDescent="0.35">
      <c r="A17" s="5" t="s">
        <v>21</v>
      </c>
      <c r="B17" s="5" t="s">
        <v>22</v>
      </c>
    </row>
    <row r="18" spans="1:2" x14ac:dyDescent="0.35">
      <c r="A18" s="5" t="s">
        <v>23</v>
      </c>
      <c r="B18" s="5" t="s">
        <v>24</v>
      </c>
    </row>
    <row r="19" spans="1:2" x14ac:dyDescent="0.35">
      <c r="A19" s="5" t="s">
        <v>25</v>
      </c>
      <c r="B19" s="5" t="s">
        <v>26</v>
      </c>
    </row>
    <row r="20" spans="1:2" x14ac:dyDescent="0.35">
      <c r="A20" s="5" t="s">
        <v>27</v>
      </c>
      <c r="B20" s="5" t="s">
        <v>28</v>
      </c>
    </row>
    <row r="21" spans="1:2" x14ac:dyDescent="0.35">
      <c r="A21" s="5" t="s">
        <v>29</v>
      </c>
      <c r="B21" s="5" t="s">
        <v>30</v>
      </c>
    </row>
    <row r="22" spans="1:2" x14ac:dyDescent="0.35">
      <c r="A22" s="5" t="s">
        <v>31</v>
      </c>
      <c r="B22" s="5" t="s">
        <v>32</v>
      </c>
    </row>
    <row r="23" spans="1:2" x14ac:dyDescent="0.35">
      <c r="A23" s="5" t="s">
        <v>33</v>
      </c>
      <c r="B23" s="5" t="s">
        <v>34</v>
      </c>
    </row>
    <row r="24" spans="1:2" x14ac:dyDescent="0.35">
      <c r="A24" s="5" t="s">
        <v>35</v>
      </c>
      <c r="B24" s="5" t="s">
        <v>36</v>
      </c>
    </row>
    <row r="26" spans="1:2" x14ac:dyDescent="0.35">
      <c r="A26" s="4" t="s">
        <v>37</v>
      </c>
    </row>
    <row r="27" spans="1:2" x14ac:dyDescent="0.35">
      <c r="A27" s="5" t="s">
        <v>38</v>
      </c>
      <c r="B27" s="5" t="s">
        <v>39</v>
      </c>
    </row>
    <row r="28" spans="1:2" x14ac:dyDescent="0.35">
      <c r="A28" s="5" t="s">
        <v>40</v>
      </c>
      <c r="B28" s="5" t="s">
        <v>41</v>
      </c>
    </row>
    <row r="29" spans="1:2" x14ac:dyDescent="0.35">
      <c r="A29" s="5" t="s">
        <v>42</v>
      </c>
      <c r="B29" s="5" t="s">
        <v>43</v>
      </c>
    </row>
    <row r="30" spans="1:2" x14ac:dyDescent="0.35">
      <c r="A30" s="5" t="s">
        <v>44</v>
      </c>
      <c r="B30" s="5" t="s">
        <v>45</v>
      </c>
    </row>
    <row r="31" spans="1:2" x14ac:dyDescent="0.35">
      <c r="A31" s="5" t="s">
        <v>46</v>
      </c>
      <c r="B31" s="5" t="s">
        <v>47</v>
      </c>
    </row>
    <row r="32" spans="1:2" x14ac:dyDescent="0.35">
      <c r="A32" s="5" t="s">
        <v>48</v>
      </c>
      <c r="B32" s="5" t="s">
        <v>49</v>
      </c>
    </row>
    <row r="33" spans="1:2" x14ac:dyDescent="0.35">
      <c r="A33" s="5" t="s">
        <v>50</v>
      </c>
      <c r="B33" s="5" t="s">
        <v>51</v>
      </c>
    </row>
    <row r="34" spans="1:2" x14ac:dyDescent="0.35">
      <c r="A34" s="5" t="s">
        <v>52</v>
      </c>
      <c r="B34" s="5" t="s">
        <v>53</v>
      </c>
    </row>
    <row r="35" spans="1:2" x14ac:dyDescent="0.35">
      <c r="A35" s="5" t="s">
        <v>54</v>
      </c>
      <c r="B35" s="5" t="s">
        <v>55</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3"/>
  <sheetViews>
    <sheetView showGridLines="0" workbookViewId="0"/>
  </sheetViews>
  <sheetFormatPr defaultRowHeight="14.5" x14ac:dyDescent="0.35"/>
  <cols>
    <col min="1" max="1" width="8" customWidth="1"/>
    <col min="2" max="2" width="46" customWidth="1"/>
    <col min="3" max="3" width="16" customWidth="1"/>
    <col min="4" max="4" width="34" customWidth="1"/>
    <col min="5" max="11" width="11" customWidth="1"/>
    <col min="12" max="12" width="18" customWidth="1"/>
    <col min="13" max="13" width="44" customWidth="1"/>
  </cols>
  <sheetData>
    <row r="1" spans="1:13" ht="24" customHeight="1" x14ac:dyDescent="0.4">
      <c r="A1" s="1" t="s">
        <v>56</v>
      </c>
      <c r="B1" s="2"/>
      <c r="C1" s="2"/>
      <c r="D1" s="2"/>
      <c r="E1" s="2"/>
      <c r="F1" s="2"/>
      <c r="G1" s="2"/>
      <c r="H1" s="2"/>
      <c r="I1" s="2"/>
      <c r="J1" s="2"/>
      <c r="K1" s="2"/>
      <c r="L1" s="2"/>
      <c r="M1" s="2"/>
    </row>
    <row r="2" spans="1:13" x14ac:dyDescent="0.35">
      <c r="A2" s="3" t="s">
        <v>57</v>
      </c>
    </row>
    <row r="4" spans="1:13" ht="75" x14ac:dyDescent="0.35">
      <c r="A4" s="5" t="s">
        <v>58</v>
      </c>
      <c r="B4" s="9" t="s">
        <v>59</v>
      </c>
    </row>
    <row r="5" spans="1:13" ht="25" x14ac:dyDescent="0.35">
      <c r="A5" s="5" t="s">
        <v>60</v>
      </c>
      <c r="B5" s="10">
        <f>IF(B4="termSheet",C5,IF(B4="closing",E5,D5))</f>
        <v>46461</v>
      </c>
      <c r="C5" s="11">
        <v>46391</v>
      </c>
      <c r="D5" s="11">
        <v>46461</v>
      </c>
      <c r="E5" s="11">
        <v>46507</v>
      </c>
    </row>
    <row r="6" spans="1:13" ht="125" x14ac:dyDescent="0.35">
      <c r="A6" s="5" t="s">
        <v>61</v>
      </c>
      <c r="B6" s="9" t="s">
        <v>62</v>
      </c>
    </row>
    <row r="7" spans="1:13" ht="112.5" x14ac:dyDescent="0.35">
      <c r="A7" s="5" t="s">
        <v>63</v>
      </c>
      <c r="B7" s="9" t="s">
        <v>64</v>
      </c>
    </row>
    <row r="9" spans="1:13" x14ac:dyDescent="0.35">
      <c r="A9" s="12" t="s">
        <v>65</v>
      </c>
      <c r="B9" s="13" t="s">
        <v>66</v>
      </c>
      <c r="C9" s="13" t="s">
        <v>67</v>
      </c>
      <c r="D9" s="13" t="s">
        <v>68</v>
      </c>
      <c r="E9" s="13" t="s">
        <v>69</v>
      </c>
      <c r="F9" s="13" t="s">
        <v>70</v>
      </c>
      <c r="G9" s="13" t="s">
        <v>71</v>
      </c>
      <c r="H9" s="13" t="s">
        <v>72</v>
      </c>
      <c r="I9" s="13" t="s">
        <v>73</v>
      </c>
      <c r="J9" s="13" t="s">
        <v>74</v>
      </c>
      <c r="K9" s="13" t="s">
        <v>75</v>
      </c>
      <c r="L9" s="13" t="s">
        <v>76</v>
      </c>
      <c r="M9" s="13" t="s">
        <v>77</v>
      </c>
    </row>
    <row r="10" spans="1:13" ht="25" x14ac:dyDescent="0.35">
      <c r="A10" s="5" t="s">
        <v>78</v>
      </c>
      <c r="B10" s="5" t="s">
        <v>79</v>
      </c>
      <c r="C10" s="5" t="s">
        <v>80</v>
      </c>
      <c r="D10" s="5" t="s">
        <v>81</v>
      </c>
      <c r="E10" s="14">
        <f>'03_Tax'!B5</f>
        <v>7.1999999999999993</v>
      </c>
      <c r="F10" s="14">
        <f>'03_Tax'!B12</f>
        <v>1.3776657534246575</v>
      </c>
      <c r="G10" s="14">
        <f>'03_Tax'!B13</f>
        <v>0.72</v>
      </c>
      <c r="H10" s="15">
        <f t="shared" ref="H10:H18" si="0">E10+F10+G10</f>
        <v>9.2976657534246581</v>
      </c>
      <c r="I10" s="16">
        <v>0</v>
      </c>
      <c r="J10" s="16">
        <v>0</v>
      </c>
      <c r="K10" s="16">
        <v>0</v>
      </c>
      <c r="L10" s="5" t="s">
        <v>82</v>
      </c>
      <c r="M10" s="5" t="s">
        <v>83</v>
      </c>
    </row>
    <row r="11" spans="1:13" ht="25" x14ac:dyDescent="0.35">
      <c r="A11" s="5" t="s">
        <v>84</v>
      </c>
      <c r="B11" s="5" t="s">
        <v>85</v>
      </c>
      <c r="C11" s="5" t="s">
        <v>80</v>
      </c>
      <c r="D11" s="5" t="s">
        <v>86</v>
      </c>
      <c r="E11" s="14">
        <f>'03_Tax'!B45</f>
        <v>0</v>
      </c>
      <c r="F11" s="14">
        <f>'03_Tax'!B46</f>
        <v>0.64800000000000013</v>
      </c>
      <c r="G11" s="16">
        <v>0</v>
      </c>
      <c r="H11" s="15">
        <f t="shared" si="0"/>
        <v>0.64800000000000013</v>
      </c>
      <c r="I11" s="14">
        <f>'03_Tax'!B47</f>
        <v>4.8</v>
      </c>
      <c r="J11" s="16">
        <v>0</v>
      </c>
      <c r="K11" s="14">
        <f>'03_Tax'!B48</f>
        <v>0</v>
      </c>
      <c r="L11" s="5" t="s">
        <v>82</v>
      </c>
      <c r="M11" s="5" t="s">
        <v>87</v>
      </c>
    </row>
    <row r="12" spans="1:13" ht="25" x14ac:dyDescent="0.35">
      <c r="A12" s="5" t="s">
        <v>84</v>
      </c>
      <c r="B12" s="5" t="s">
        <v>88</v>
      </c>
      <c r="C12" s="5" t="s">
        <v>89</v>
      </c>
      <c r="D12" s="5" t="s">
        <v>90</v>
      </c>
      <c r="E12" s="14">
        <f>'03_Tax'!B49</f>
        <v>2.4</v>
      </c>
      <c r="F12" s="14">
        <f>'03_Tax'!B50</f>
        <v>0.22800000000000001</v>
      </c>
      <c r="G12" s="16">
        <v>0</v>
      </c>
      <c r="H12" s="15">
        <f t="shared" si="0"/>
        <v>2.6280000000000001</v>
      </c>
      <c r="I12" s="14">
        <f>'03_Tax'!B51</f>
        <v>2.4</v>
      </c>
      <c r="J12" s="16">
        <v>0</v>
      </c>
      <c r="K12" s="16">
        <v>0</v>
      </c>
      <c r="L12" s="5" t="s">
        <v>82</v>
      </c>
      <c r="M12" s="5" t="s">
        <v>91</v>
      </c>
    </row>
    <row r="13" spans="1:13" ht="25" x14ac:dyDescent="0.35">
      <c r="A13" s="5" t="s">
        <v>92</v>
      </c>
      <c r="B13" s="5" t="s">
        <v>93</v>
      </c>
      <c r="C13" s="5" t="s">
        <v>94</v>
      </c>
      <c r="D13" s="5" t="s">
        <v>95</v>
      </c>
      <c r="E13" s="16">
        <v>0</v>
      </c>
      <c r="F13" s="16">
        <v>0</v>
      </c>
      <c r="G13" s="14">
        <f>'04_Corporate_Labour'!B25</f>
        <v>0.56159999999999999</v>
      </c>
      <c r="H13" s="15">
        <f t="shared" si="0"/>
        <v>0.56159999999999999</v>
      </c>
      <c r="I13" s="16">
        <v>0</v>
      </c>
      <c r="J13" s="16">
        <v>0</v>
      </c>
      <c r="K13" s="16">
        <v>0</v>
      </c>
      <c r="L13" s="5" t="s">
        <v>82</v>
      </c>
      <c r="M13" s="5" t="s">
        <v>96</v>
      </c>
    </row>
    <row r="14" spans="1:13" ht="25" x14ac:dyDescent="0.35">
      <c r="A14" s="5" t="s">
        <v>97</v>
      </c>
      <c r="B14" s="5" t="s">
        <v>98</v>
      </c>
      <c r="C14" s="5" t="s">
        <v>99</v>
      </c>
      <c r="D14" s="5" t="s">
        <v>100</v>
      </c>
      <c r="E14" s="14">
        <f>'04_Corporate_Labour'!B31</f>
        <v>9</v>
      </c>
      <c r="F14" s="16">
        <v>0</v>
      </c>
      <c r="G14" s="16">
        <v>0</v>
      </c>
      <c r="H14" s="15">
        <f t="shared" si="0"/>
        <v>9</v>
      </c>
      <c r="I14" s="16">
        <v>0</v>
      </c>
      <c r="J14" s="16">
        <v>0</v>
      </c>
      <c r="K14" s="16">
        <v>0</v>
      </c>
      <c r="L14" s="5" t="s">
        <v>82</v>
      </c>
      <c r="M14" s="5" t="s">
        <v>101</v>
      </c>
    </row>
    <row r="15" spans="1:13" ht="25" x14ac:dyDescent="0.35">
      <c r="A15" s="5" t="s">
        <v>102</v>
      </c>
      <c r="B15" s="5" t="s">
        <v>103</v>
      </c>
      <c r="C15" s="5" t="s">
        <v>80</v>
      </c>
      <c r="D15" s="5" t="s">
        <v>104</v>
      </c>
      <c r="E15" s="16">
        <v>0</v>
      </c>
      <c r="F15" s="16">
        <v>0</v>
      </c>
      <c r="G15" s="14">
        <f>'04_Corporate_Labour'!B12</f>
        <v>0.55000000000000004</v>
      </c>
      <c r="H15" s="15">
        <f t="shared" si="0"/>
        <v>0.55000000000000004</v>
      </c>
      <c r="I15" s="16">
        <v>0</v>
      </c>
      <c r="J15" s="14">
        <f>'04_Corporate_Labour'!B13</f>
        <v>1.6500000000000001</v>
      </c>
      <c r="K15" s="16">
        <v>0</v>
      </c>
      <c r="L15" s="5" t="s">
        <v>82</v>
      </c>
      <c r="M15" s="5" t="s">
        <v>105</v>
      </c>
    </row>
    <row r="16" spans="1:13" ht="25" x14ac:dyDescent="0.35">
      <c r="A16" s="5" t="s">
        <v>106</v>
      </c>
      <c r="B16" s="5" t="s">
        <v>107</v>
      </c>
      <c r="C16" s="5" t="s">
        <v>108</v>
      </c>
      <c r="D16" s="5" t="s">
        <v>109</v>
      </c>
      <c r="E16" s="16">
        <v>0</v>
      </c>
      <c r="F16" s="16">
        <v>0</v>
      </c>
      <c r="G16" s="16">
        <v>0</v>
      </c>
      <c r="H16" s="15">
        <f t="shared" si="0"/>
        <v>0</v>
      </c>
      <c r="I16" s="16">
        <v>0</v>
      </c>
      <c r="J16" s="14">
        <f>'04_Corporate_Labour'!B20</f>
        <v>5</v>
      </c>
      <c r="K16" s="14">
        <f>'04_Corporate_Labour'!B19</f>
        <v>14.399999999999997</v>
      </c>
      <c r="L16" s="5" t="s">
        <v>110</v>
      </c>
      <c r="M16" s="5" t="s">
        <v>111</v>
      </c>
    </row>
    <row r="17" spans="1:13" ht="25" x14ac:dyDescent="0.35">
      <c r="A17" s="5" t="s">
        <v>112</v>
      </c>
      <c r="B17" s="5" t="s">
        <v>113</v>
      </c>
      <c r="C17" s="5" t="s">
        <v>80</v>
      </c>
      <c r="D17" s="5" t="s">
        <v>114</v>
      </c>
      <c r="E17" s="16">
        <v>0</v>
      </c>
      <c r="F17" s="16">
        <v>0</v>
      </c>
      <c r="G17" s="16">
        <v>0</v>
      </c>
      <c r="H17" s="15">
        <f t="shared" si="0"/>
        <v>0</v>
      </c>
      <c r="I17" s="16">
        <v>0</v>
      </c>
      <c r="J17" s="16">
        <v>0</v>
      </c>
      <c r="K17" s="14">
        <f>'03_Tax'!B54</f>
        <v>0.41735202763397261</v>
      </c>
      <c r="L17" s="5" t="s">
        <v>110</v>
      </c>
      <c r="M17" s="5" t="s">
        <v>115</v>
      </c>
    </row>
    <row r="18" spans="1:13" x14ac:dyDescent="0.35">
      <c r="A18" s="5" t="s">
        <v>116</v>
      </c>
      <c r="B18" s="5" t="s">
        <v>117</v>
      </c>
      <c r="C18" s="5" t="s">
        <v>80</v>
      </c>
      <c r="D18" s="5" t="s">
        <v>118</v>
      </c>
      <c r="E18" s="16">
        <v>0</v>
      </c>
      <c r="F18" s="16">
        <v>0</v>
      </c>
      <c r="G18" s="16">
        <v>0</v>
      </c>
      <c r="H18" s="15">
        <f t="shared" si="0"/>
        <v>0</v>
      </c>
      <c r="I18" s="16">
        <v>0</v>
      </c>
      <c r="J18" s="16">
        <v>0</v>
      </c>
      <c r="K18" s="16">
        <v>0</v>
      </c>
      <c r="L18" s="5" t="s">
        <v>110</v>
      </c>
      <c r="M18" s="5" t="s">
        <v>119</v>
      </c>
    </row>
    <row r="20" spans="1:13" ht="65" x14ac:dyDescent="0.35">
      <c r="A20" s="17" t="s">
        <v>120</v>
      </c>
      <c r="H20" s="15">
        <f>SUMIF(L10:L18,"Provision",H10:H18)</f>
        <v>22.685265753424659</v>
      </c>
    </row>
    <row r="21" spans="1:13" ht="75" x14ac:dyDescent="0.35">
      <c r="A21" s="5" t="s">
        <v>121</v>
      </c>
      <c r="I21" s="18">
        <f>SUM(I10:I18)</f>
        <v>7.1999999999999993</v>
      </c>
    </row>
    <row r="22" spans="1:13" ht="50" x14ac:dyDescent="0.35">
      <c r="A22" s="5" t="s">
        <v>122</v>
      </c>
      <c r="J22" s="18">
        <f>SUM(J10:J18)</f>
        <v>6.65</v>
      </c>
    </row>
    <row r="23" spans="1:13" ht="50" x14ac:dyDescent="0.35">
      <c r="A23" s="5" t="s">
        <v>123</v>
      </c>
      <c r="K23" s="18">
        <f>SUM(K10:K18)</f>
        <v>14.817352027633969</v>
      </c>
    </row>
  </sheetData>
  <dataValidations count="2">
    <dataValidation type="list" sqref="B4" xr:uid="{00000000-0002-0000-0100-000000000000}">
      <formula1>"termSheet,signing,closing"</formula1>
    </dataValidation>
    <dataValidation type="list" sqref="B6:B7" xr:uid="{00000000-0002-0000-0100-000001000000}">
      <formula1>"Yes,No"</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3"/>
  <sheetViews>
    <sheetView showGridLines="0" workbookViewId="0"/>
  </sheetViews>
  <sheetFormatPr defaultRowHeight="14.5" x14ac:dyDescent="0.35"/>
  <cols>
    <col min="1" max="1" width="40" customWidth="1"/>
    <col min="2" max="2" width="16" customWidth="1"/>
    <col min="3" max="3" width="10" customWidth="1"/>
  </cols>
  <sheetData>
    <row r="1" spans="1:3" ht="24" customHeight="1" x14ac:dyDescent="0.4">
      <c r="A1" s="1" t="s">
        <v>124</v>
      </c>
      <c r="B1" s="2"/>
      <c r="C1" s="2"/>
    </row>
    <row r="2" spans="1:3" x14ac:dyDescent="0.35">
      <c r="A2" s="3" t="s">
        <v>125</v>
      </c>
    </row>
    <row r="4" spans="1:3" x14ac:dyDescent="0.35">
      <c r="A4" s="5" t="s">
        <v>126</v>
      </c>
      <c r="B4" s="9" t="s">
        <v>78</v>
      </c>
    </row>
    <row r="6" spans="1:3" x14ac:dyDescent="0.35">
      <c r="A6" s="5" t="s">
        <v>69</v>
      </c>
      <c r="B6" s="18">
        <f>SUMIF('01_Register'!$A$10:$A$18,$B$4,'01_Register'!E$10:E$18)</f>
        <v>7.1999999999999993</v>
      </c>
    </row>
    <row r="7" spans="1:3" x14ac:dyDescent="0.35">
      <c r="A7" s="5" t="s">
        <v>70</v>
      </c>
      <c r="B7" s="18">
        <f>SUMIF('01_Register'!$A$10:$A$18,$B$4,'01_Register'!F$10:F$18)</f>
        <v>1.3776657534246575</v>
      </c>
    </row>
    <row r="8" spans="1:3" x14ac:dyDescent="0.35">
      <c r="A8" s="5" t="s">
        <v>71</v>
      </c>
      <c r="B8" s="18">
        <f>SUMIF('01_Register'!$A$10:$A$18,$B$4,'01_Register'!G$10:G$18)</f>
        <v>0.72</v>
      </c>
    </row>
    <row r="9" spans="1:3" x14ac:dyDescent="0.35">
      <c r="A9" s="17" t="s">
        <v>127</v>
      </c>
      <c r="B9" s="15">
        <f>SUMIF('01_Register'!$A$10:$A$18,$B$4,'01_Register'!H$10:H$18)</f>
        <v>9.2976657534246581</v>
      </c>
    </row>
    <row r="10" spans="1:3" x14ac:dyDescent="0.35">
      <c r="A10" s="5" t="s">
        <v>128</v>
      </c>
      <c r="B10" s="18">
        <f>SUMIF('01_Register'!$A$10:$A$18,$B$4,'01_Register'!I$10:I$18)</f>
        <v>0</v>
      </c>
    </row>
    <row r="11" spans="1:3" x14ac:dyDescent="0.35">
      <c r="A11" s="5" t="s">
        <v>122</v>
      </c>
      <c r="B11" s="18">
        <f>SUMIF('01_Register'!$A$10:$A$18,$B$4,'01_Register'!J$10:J$18)</f>
        <v>0</v>
      </c>
    </row>
    <row r="13" spans="1:3" x14ac:dyDescent="0.35">
      <c r="A13" s="5" t="s">
        <v>129</v>
      </c>
      <c r="B13" s="19">
        <f>'01_Register'!B5</f>
        <v>46461</v>
      </c>
    </row>
  </sheetData>
  <dataValidations count="1">
    <dataValidation type="list" sqref="B4" xr:uid="{00000000-0002-0000-0200-000000000000}">
      <formula1>"I-01,I-09,I-07,I-11,I-08"</formula1>
    </dataValidation>
  </dataValidation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4"/>
  <sheetViews>
    <sheetView showGridLines="0" workbookViewId="0"/>
  </sheetViews>
  <sheetFormatPr defaultRowHeight="14.5" x14ac:dyDescent="0.35"/>
  <cols>
    <col min="1" max="1" width="62" customWidth="1"/>
    <col min="2" max="2" width="14" customWidth="1"/>
    <col min="3" max="3" width="12" customWidth="1"/>
    <col min="4" max="4" width="16" customWidth="1"/>
    <col min="5" max="5" width="14" customWidth="1"/>
    <col min="6" max="6" width="12" customWidth="1"/>
  </cols>
  <sheetData>
    <row r="1" spans="1:8" ht="24" customHeight="1" x14ac:dyDescent="0.4">
      <c r="A1" s="1" t="s">
        <v>130</v>
      </c>
      <c r="B1" s="2"/>
      <c r="C1" s="2"/>
      <c r="D1" s="2"/>
      <c r="E1" s="2"/>
      <c r="F1" s="2"/>
      <c r="G1" s="2"/>
      <c r="H1" s="2"/>
    </row>
    <row r="2" spans="1:8" x14ac:dyDescent="0.35">
      <c r="A2" s="3" t="s">
        <v>131</v>
      </c>
    </row>
    <row r="4" spans="1:8" x14ac:dyDescent="0.35">
      <c r="A4" s="4" t="s">
        <v>132</v>
      </c>
    </row>
    <row r="5" spans="1:8" x14ac:dyDescent="0.35">
      <c r="A5" s="5" t="s">
        <v>133</v>
      </c>
      <c r="B5" s="20">
        <v>7.1999999999999993</v>
      </c>
    </row>
    <row r="6" spans="1:8" x14ac:dyDescent="0.35">
      <c r="A6" s="5" t="s">
        <v>134</v>
      </c>
      <c r="B6" s="11">
        <v>46073</v>
      </c>
    </row>
    <row r="7" spans="1:8" x14ac:dyDescent="0.35">
      <c r="A7" s="5" t="s">
        <v>135</v>
      </c>
      <c r="B7" s="21">
        <v>0.18</v>
      </c>
    </row>
    <row r="8" spans="1:8" x14ac:dyDescent="0.35">
      <c r="A8" s="5" t="s">
        <v>136</v>
      </c>
      <c r="B8" s="21">
        <v>0.1</v>
      </c>
    </row>
    <row r="9" spans="1:8" x14ac:dyDescent="0.35">
      <c r="A9" s="5" t="s">
        <v>137</v>
      </c>
      <c r="B9" s="20">
        <v>0.1</v>
      </c>
    </row>
    <row r="10" spans="1:8" x14ac:dyDescent="0.35">
      <c r="A10" s="5" t="s">
        <v>60</v>
      </c>
      <c r="B10" s="19">
        <f>'01_Register'!B5</f>
        <v>46461</v>
      </c>
    </row>
    <row r="11" spans="1:8" x14ac:dyDescent="0.35">
      <c r="A11" s="5" t="s">
        <v>138</v>
      </c>
      <c r="B11" s="22">
        <f>B10-B6</f>
        <v>388</v>
      </c>
    </row>
    <row r="12" spans="1:8" x14ac:dyDescent="0.35">
      <c r="A12" s="5" t="s">
        <v>70</v>
      </c>
      <c r="B12" s="18">
        <f>B5*B7*B11/365</f>
        <v>1.3776657534246575</v>
      </c>
    </row>
    <row r="13" spans="1:8" x14ac:dyDescent="0.35">
      <c r="A13" s="5" t="s">
        <v>139</v>
      </c>
      <c r="B13" s="18">
        <f>IF('01_Register'!B6="Yes",0,MAX(B8*B5,B9))</f>
        <v>0.72</v>
      </c>
    </row>
    <row r="14" spans="1:8" x14ac:dyDescent="0.35">
      <c r="A14" s="5" t="s">
        <v>140</v>
      </c>
      <c r="B14" s="15">
        <f>B5+B12+B13</f>
        <v>9.2976657534246581</v>
      </c>
    </row>
    <row r="15" spans="1:8" x14ac:dyDescent="0.35">
      <c r="A15" s="5" t="s">
        <v>141</v>
      </c>
      <c r="B15" s="11">
        <v>47664</v>
      </c>
    </row>
    <row r="17" spans="1:6" x14ac:dyDescent="0.35">
      <c r="A17" s="4" t="s">
        <v>142</v>
      </c>
    </row>
    <row r="18" spans="1:6" x14ac:dyDescent="0.35">
      <c r="A18" s="5" t="s">
        <v>143</v>
      </c>
      <c r="B18" s="20">
        <v>5</v>
      </c>
    </row>
    <row r="19" spans="1:6" x14ac:dyDescent="0.35">
      <c r="A19" s="5" t="s">
        <v>144</v>
      </c>
      <c r="B19" s="21">
        <v>0.08</v>
      </c>
    </row>
    <row r="20" spans="1:6" x14ac:dyDescent="0.35">
      <c r="A20" s="5" t="s">
        <v>145</v>
      </c>
      <c r="B20" s="21">
        <v>0.01</v>
      </c>
    </row>
    <row r="21" spans="1:6" x14ac:dyDescent="0.35">
      <c r="A21" s="5" t="s">
        <v>146</v>
      </c>
      <c r="B21" s="11">
        <v>46325</v>
      </c>
    </row>
    <row r="22" spans="1:6" x14ac:dyDescent="0.35">
      <c r="A22" s="5" t="s">
        <v>147</v>
      </c>
      <c r="B22" s="9" t="s">
        <v>148</v>
      </c>
    </row>
    <row r="23" spans="1:6" x14ac:dyDescent="0.35">
      <c r="A23" s="5" t="s">
        <v>149</v>
      </c>
      <c r="B23" s="21">
        <v>0.3</v>
      </c>
    </row>
    <row r="25" spans="1:6" x14ac:dyDescent="0.35">
      <c r="A25" s="12" t="s">
        <v>150</v>
      </c>
      <c r="B25" s="13" t="s">
        <v>151</v>
      </c>
      <c r="C25" s="13" t="s">
        <v>152</v>
      </c>
      <c r="D25" s="13" t="s">
        <v>153</v>
      </c>
      <c r="E25" s="13" t="s">
        <v>154</v>
      </c>
      <c r="F25" s="13" t="s">
        <v>70</v>
      </c>
    </row>
    <row r="26" spans="1:6" x14ac:dyDescent="0.35">
      <c r="A26" s="23">
        <v>45748</v>
      </c>
      <c r="B26" s="24" t="s">
        <v>155</v>
      </c>
      <c r="C26" s="18">
        <f t="shared" ref="C26:C43" si="0">$B$18*$B$19</f>
        <v>0.4</v>
      </c>
      <c r="D26" s="10">
        <f>IF(AND(B26="1961",'01_Register'!$B$7="Yes"),$B$21,$B$10)</f>
        <v>46325</v>
      </c>
      <c r="E26" s="22">
        <f t="shared" ref="E26:E43" si="1">MAX(0,(YEAR(D26)-YEAR(A26))*12+MONTH(D26)-MONTH(A26)+IF(DAY(D26)&gt;DAY(A26),1,0))</f>
        <v>19</v>
      </c>
      <c r="F26" s="18">
        <f t="shared" ref="F26:F43" si="2">C26*$B$20*E26</f>
        <v>7.5999999999999998E-2</v>
      </c>
    </row>
    <row r="27" spans="1:6" x14ac:dyDescent="0.35">
      <c r="A27" s="23">
        <v>45778</v>
      </c>
      <c r="B27" s="24" t="s">
        <v>155</v>
      </c>
      <c r="C27" s="18">
        <f t="shared" si="0"/>
        <v>0.4</v>
      </c>
      <c r="D27" s="10">
        <f>IF(AND(B27="1961",'01_Register'!$B$7="Yes"),$B$21,$B$10)</f>
        <v>46325</v>
      </c>
      <c r="E27" s="22">
        <f t="shared" si="1"/>
        <v>18</v>
      </c>
      <c r="F27" s="18">
        <f t="shared" si="2"/>
        <v>7.2000000000000008E-2</v>
      </c>
    </row>
    <row r="28" spans="1:6" x14ac:dyDescent="0.35">
      <c r="A28" s="23">
        <v>45809</v>
      </c>
      <c r="B28" s="24" t="s">
        <v>155</v>
      </c>
      <c r="C28" s="18">
        <f t="shared" si="0"/>
        <v>0.4</v>
      </c>
      <c r="D28" s="10">
        <f>IF(AND(B28="1961",'01_Register'!$B$7="Yes"),$B$21,$B$10)</f>
        <v>46325</v>
      </c>
      <c r="E28" s="22">
        <f t="shared" si="1"/>
        <v>17</v>
      </c>
      <c r="F28" s="18">
        <f t="shared" si="2"/>
        <v>6.8000000000000005E-2</v>
      </c>
    </row>
    <row r="29" spans="1:6" x14ac:dyDescent="0.35">
      <c r="A29" s="23">
        <v>45839</v>
      </c>
      <c r="B29" s="24" t="s">
        <v>155</v>
      </c>
      <c r="C29" s="18">
        <f t="shared" si="0"/>
        <v>0.4</v>
      </c>
      <c r="D29" s="10">
        <f>IF(AND(B29="1961",'01_Register'!$B$7="Yes"),$B$21,$B$10)</f>
        <v>46325</v>
      </c>
      <c r="E29" s="22">
        <f t="shared" si="1"/>
        <v>16</v>
      </c>
      <c r="F29" s="18">
        <f t="shared" si="2"/>
        <v>6.4000000000000001E-2</v>
      </c>
    </row>
    <row r="30" spans="1:6" x14ac:dyDescent="0.35">
      <c r="A30" s="23">
        <v>45870</v>
      </c>
      <c r="B30" s="24" t="s">
        <v>155</v>
      </c>
      <c r="C30" s="18">
        <f t="shared" si="0"/>
        <v>0.4</v>
      </c>
      <c r="D30" s="10">
        <f>IF(AND(B30="1961",'01_Register'!$B$7="Yes"),$B$21,$B$10)</f>
        <v>46325</v>
      </c>
      <c r="E30" s="22">
        <f t="shared" si="1"/>
        <v>15</v>
      </c>
      <c r="F30" s="18">
        <f t="shared" si="2"/>
        <v>0.06</v>
      </c>
    </row>
    <row r="31" spans="1:6" x14ac:dyDescent="0.35">
      <c r="A31" s="23">
        <v>45901</v>
      </c>
      <c r="B31" s="24" t="s">
        <v>155</v>
      </c>
      <c r="C31" s="18">
        <f t="shared" si="0"/>
        <v>0.4</v>
      </c>
      <c r="D31" s="10">
        <f>IF(AND(B31="1961",'01_Register'!$B$7="Yes"),$B$21,$B$10)</f>
        <v>46325</v>
      </c>
      <c r="E31" s="22">
        <f t="shared" si="1"/>
        <v>14</v>
      </c>
      <c r="F31" s="18">
        <f t="shared" si="2"/>
        <v>5.6000000000000001E-2</v>
      </c>
    </row>
    <row r="32" spans="1:6" x14ac:dyDescent="0.35">
      <c r="A32" s="23">
        <v>45931</v>
      </c>
      <c r="B32" s="24" t="s">
        <v>155</v>
      </c>
      <c r="C32" s="18">
        <f t="shared" si="0"/>
        <v>0.4</v>
      </c>
      <c r="D32" s="10">
        <f>IF(AND(B32="1961",'01_Register'!$B$7="Yes"),$B$21,$B$10)</f>
        <v>46325</v>
      </c>
      <c r="E32" s="22">
        <f t="shared" si="1"/>
        <v>13</v>
      </c>
      <c r="F32" s="18">
        <f t="shared" si="2"/>
        <v>5.2000000000000005E-2</v>
      </c>
    </row>
    <row r="33" spans="1:6" x14ac:dyDescent="0.35">
      <c r="A33" s="23">
        <v>45962</v>
      </c>
      <c r="B33" s="24" t="s">
        <v>155</v>
      </c>
      <c r="C33" s="18">
        <f t="shared" si="0"/>
        <v>0.4</v>
      </c>
      <c r="D33" s="10">
        <f>IF(AND(B33="1961",'01_Register'!$B$7="Yes"),$B$21,$B$10)</f>
        <v>46325</v>
      </c>
      <c r="E33" s="22">
        <f t="shared" si="1"/>
        <v>12</v>
      </c>
      <c r="F33" s="18">
        <f t="shared" si="2"/>
        <v>4.8000000000000001E-2</v>
      </c>
    </row>
    <row r="34" spans="1:6" x14ac:dyDescent="0.35">
      <c r="A34" s="23">
        <v>45992</v>
      </c>
      <c r="B34" s="24" t="s">
        <v>155</v>
      </c>
      <c r="C34" s="18">
        <f t="shared" si="0"/>
        <v>0.4</v>
      </c>
      <c r="D34" s="10">
        <f>IF(AND(B34="1961",'01_Register'!$B$7="Yes"),$B$21,$B$10)</f>
        <v>46325</v>
      </c>
      <c r="E34" s="22">
        <f t="shared" si="1"/>
        <v>11</v>
      </c>
      <c r="F34" s="18">
        <f t="shared" si="2"/>
        <v>4.3999999999999997E-2</v>
      </c>
    </row>
    <row r="35" spans="1:6" x14ac:dyDescent="0.35">
      <c r="A35" s="23">
        <v>46023</v>
      </c>
      <c r="B35" s="24" t="s">
        <v>155</v>
      </c>
      <c r="C35" s="18">
        <f t="shared" si="0"/>
        <v>0.4</v>
      </c>
      <c r="D35" s="10">
        <f>IF(AND(B35="1961",'01_Register'!$B$7="Yes"),$B$21,$B$10)</f>
        <v>46325</v>
      </c>
      <c r="E35" s="22">
        <f t="shared" si="1"/>
        <v>10</v>
      </c>
      <c r="F35" s="18">
        <f t="shared" si="2"/>
        <v>0.04</v>
      </c>
    </row>
    <row r="36" spans="1:6" x14ac:dyDescent="0.35">
      <c r="A36" s="23">
        <v>46054</v>
      </c>
      <c r="B36" s="24" t="s">
        <v>155</v>
      </c>
      <c r="C36" s="18">
        <f t="shared" si="0"/>
        <v>0.4</v>
      </c>
      <c r="D36" s="10">
        <f>IF(AND(B36="1961",'01_Register'!$B$7="Yes"),$B$21,$B$10)</f>
        <v>46325</v>
      </c>
      <c r="E36" s="22">
        <f t="shared" si="1"/>
        <v>9</v>
      </c>
      <c r="F36" s="18">
        <f t="shared" si="2"/>
        <v>3.6000000000000004E-2</v>
      </c>
    </row>
    <row r="37" spans="1:6" x14ac:dyDescent="0.35">
      <c r="A37" s="23">
        <v>46082</v>
      </c>
      <c r="B37" s="24" t="s">
        <v>155</v>
      </c>
      <c r="C37" s="18">
        <f t="shared" si="0"/>
        <v>0.4</v>
      </c>
      <c r="D37" s="10">
        <f>IF(AND(B37="1961",'01_Register'!$B$7="Yes"),$B$21,$B$10)</f>
        <v>46325</v>
      </c>
      <c r="E37" s="22">
        <f t="shared" si="1"/>
        <v>8</v>
      </c>
      <c r="F37" s="18">
        <f t="shared" si="2"/>
        <v>3.2000000000000001E-2</v>
      </c>
    </row>
    <row r="38" spans="1:6" x14ac:dyDescent="0.35">
      <c r="A38" s="23">
        <v>46113</v>
      </c>
      <c r="B38" s="24" t="s">
        <v>156</v>
      </c>
      <c r="C38" s="18">
        <f t="shared" si="0"/>
        <v>0.4</v>
      </c>
      <c r="D38" s="10">
        <f>IF(AND(B38="1961",'01_Register'!$B$7="Yes"),$B$21,$B$10)</f>
        <v>46461</v>
      </c>
      <c r="E38" s="22">
        <f t="shared" si="1"/>
        <v>12</v>
      </c>
      <c r="F38" s="18">
        <f t="shared" si="2"/>
        <v>4.8000000000000001E-2</v>
      </c>
    </row>
    <row r="39" spans="1:6" x14ac:dyDescent="0.35">
      <c r="A39" s="23">
        <v>46143</v>
      </c>
      <c r="B39" s="24" t="s">
        <v>156</v>
      </c>
      <c r="C39" s="18">
        <f t="shared" si="0"/>
        <v>0.4</v>
      </c>
      <c r="D39" s="10">
        <f>IF(AND(B39="1961",'01_Register'!$B$7="Yes"),$B$21,$B$10)</f>
        <v>46461</v>
      </c>
      <c r="E39" s="22">
        <f t="shared" si="1"/>
        <v>11</v>
      </c>
      <c r="F39" s="18">
        <f t="shared" si="2"/>
        <v>4.3999999999999997E-2</v>
      </c>
    </row>
    <row r="40" spans="1:6" x14ac:dyDescent="0.35">
      <c r="A40" s="23">
        <v>46174</v>
      </c>
      <c r="B40" s="24" t="s">
        <v>156</v>
      </c>
      <c r="C40" s="18">
        <f t="shared" si="0"/>
        <v>0.4</v>
      </c>
      <c r="D40" s="10">
        <f>IF(AND(B40="1961",'01_Register'!$B$7="Yes"),$B$21,$B$10)</f>
        <v>46461</v>
      </c>
      <c r="E40" s="22">
        <f t="shared" si="1"/>
        <v>10</v>
      </c>
      <c r="F40" s="18">
        <f t="shared" si="2"/>
        <v>0.04</v>
      </c>
    </row>
    <row r="41" spans="1:6" x14ac:dyDescent="0.35">
      <c r="A41" s="23">
        <v>46204</v>
      </c>
      <c r="B41" s="24" t="s">
        <v>156</v>
      </c>
      <c r="C41" s="18">
        <f t="shared" si="0"/>
        <v>0.4</v>
      </c>
      <c r="D41" s="10">
        <f>IF(AND(B41="1961",'01_Register'!$B$7="Yes"),$B$21,$B$10)</f>
        <v>46461</v>
      </c>
      <c r="E41" s="22">
        <f t="shared" si="1"/>
        <v>9</v>
      </c>
      <c r="F41" s="18">
        <f t="shared" si="2"/>
        <v>3.6000000000000004E-2</v>
      </c>
    </row>
    <row r="42" spans="1:6" x14ac:dyDescent="0.35">
      <c r="A42" s="23">
        <v>46235</v>
      </c>
      <c r="B42" s="24" t="s">
        <v>156</v>
      </c>
      <c r="C42" s="18">
        <f t="shared" si="0"/>
        <v>0.4</v>
      </c>
      <c r="D42" s="10">
        <f>IF(AND(B42="1961",'01_Register'!$B$7="Yes"),$B$21,$B$10)</f>
        <v>46461</v>
      </c>
      <c r="E42" s="22">
        <f t="shared" si="1"/>
        <v>8</v>
      </c>
      <c r="F42" s="18">
        <f t="shared" si="2"/>
        <v>3.2000000000000001E-2</v>
      </c>
    </row>
    <row r="43" spans="1:6" x14ac:dyDescent="0.35">
      <c r="A43" s="23">
        <v>46266</v>
      </c>
      <c r="B43" s="24" t="s">
        <v>156</v>
      </c>
      <c r="C43" s="18">
        <f t="shared" si="0"/>
        <v>0.4</v>
      </c>
      <c r="D43" s="10">
        <f>IF(AND(B43="1961",'01_Register'!$B$7="Yes"),$B$21,$B$10)</f>
        <v>46461</v>
      </c>
      <c r="E43" s="22">
        <f t="shared" si="1"/>
        <v>7</v>
      </c>
      <c r="F43" s="18">
        <f t="shared" si="2"/>
        <v>2.8000000000000001E-2</v>
      </c>
    </row>
    <row r="45" spans="1:6" x14ac:dyDescent="0.35">
      <c r="A45" s="5" t="s">
        <v>157</v>
      </c>
      <c r="B45" s="18">
        <f>IF('01_Register'!B7="Yes",0,SUM(C26:C37))</f>
        <v>0</v>
      </c>
    </row>
    <row r="46" spans="1:6" x14ac:dyDescent="0.35">
      <c r="A46" s="5" t="s">
        <v>158</v>
      </c>
      <c r="B46" s="18">
        <f>SUM(F26:F37)</f>
        <v>0.64800000000000013</v>
      </c>
    </row>
    <row r="47" spans="1:6" x14ac:dyDescent="0.35">
      <c r="A47" s="5" t="s">
        <v>159</v>
      </c>
      <c r="B47" s="18">
        <f>SUM(C26:C37)</f>
        <v>4.8</v>
      </c>
    </row>
    <row r="48" spans="1:6" x14ac:dyDescent="0.35">
      <c r="A48" s="5" t="s">
        <v>160</v>
      </c>
      <c r="B48" s="18">
        <f>IF(AND(B22="revenue",'01_Register'!B7="No"),B23*B18*12,0)</f>
        <v>0</v>
      </c>
    </row>
    <row r="49" spans="1:2" x14ac:dyDescent="0.35">
      <c r="A49" s="5" t="s">
        <v>161</v>
      </c>
      <c r="B49" s="18">
        <f>SUM(C38:C43)</f>
        <v>2.4</v>
      </c>
    </row>
    <row r="50" spans="1:2" x14ac:dyDescent="0.35">
      <c r="A50" s="5" t="s">
        <v>162</v>
      </c>
      <c r="B50" s="18">
        <f>SUM(F38:F43)</f>
        <v>0.22800000000000001</v>
      </c>
    </row>
    <row r="51" spans="1:2" x14ac:dyDescent="0.35">
      <c r="A51" s="5" t="s">
        <v>163</v>
      </c>
      <c r="B51" s="18">
        <f>B49</f>
        <v>2.4</v>
      </c>
    </row>
    <row r="53" spans="1:2" x14ac:dyDescent="0.35">
      <c r="A53" s="4" t="s">
        <v>164</v>
      </c>
    </row>
    <row r="54" spans="1:2" ht="25" x14ac:dyDescent="0.35">
      <c r="A54" s="5" t="s">
        <v>165</v>
      </c>
      <c r="B54" s="16">
        <v>0.41735202763397261</v>
      </c>
    </row>
  </sheetData>
  <dataValidations count="1">
    <dataValidation type="list" sqref="B22" xr:uid="{00000000-0002-0000-0300-000000000000}">
      <formula1>"tekriwal,revenue"</formula1>
    </dataValidation>
  </dataValidation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0"/>
  <sheetViews>
    <sheetView showGridLines="0" workbookViewId="0"/>
  </sheetViews>
  <sheetFormatPr defaultRowHeight="14.5" x14ac:dyDescent="0.35"/>
  <cols>
    <col min="1" max="1" width="58" customWidth="1"/>
    <col min="2" max="2" width="60" customWidth="1"/>
    <col min="3" max="3" width="44" customWidth="1"/>
  </cols>
  <sheetData>
    <row r="1" spans="1:6" ht="24" customHeight="1" x14ac:dyDescent="0.4">
      <c r="A1" s="1" t="s">
        <v>166</v>
      </c>
      <c r="B1" s="2"/>
      <c r="C1" s="2"/>
      <c r="D1" s="2"/>
      <c r="E1" s="2"/>
      <c r="F1" s="2"/>
    </row>
    <row r="2" spans="1:6" x14ac:dyDescent="0.35">
      <c r="A2" s="3" t="s">
        <v>167</v>
      </c>
    </row>
    <row r="4" spans="1:6" x14ac:dyDescent="0.35">
      <c r="A4" s="5" t="s">
        <v>60</v>
      </c>
      <c r="B4" s="19">
        <f>'01_Register'!B5</f>
        <v>46461</v>
      </c>
    </row>
    <row r="6" spans="1:6" x14ac:dyDescent="0.35">
      <c r="A6" s="4" t="s">
        <v>168</v>
      </c>
    </row>
    <row r="7" spans="1:6" x14ac:dyDescent="0.35">
      <c r="A7" s="5" t="s">
        <v>169</v>
      </c>
      <c r="B7" s="11">
        <v>45792</v>
      </c>
    </row>
    <row r="8" spans="1:6" x14ac:dyDescent="0.35">
      <c r="A8" s="5" t="s">
        <v>170</v>
      </c>
      <c r="B8" s="11">
        <v>45847</v>
      </c>
    </row>
    <row r="9" spans="1:6" x14ac:dyDescent="0.35">
      <c r="A9" s="5" t="s">
        <v>171</v>
      </c>
      <c r="B9" s="22">
        <f>B8-B7</f>
        <v>55</v>
      </c>
    </row>
    <row r="10" spans="1:6" x14ac:dyDescent="0.35">
      <c r="A10" s="5" t="s">
        <v>172</v>
      </c>
      <c r="B10" s="25">
        <v>1000</v>
      </c>
    </row>
    <row r="11" spans="1:6" x14ac:dyDescent="0.35">
      <c r="A11" s="5" t="s">
        <v>173</v>
      </c>
      <c r="B11" s="25">
        <v>4</v>
      </c>
    </row>
    <row r="12" spans="1:6" x14ac:dyDescent="0.35">
      <c r="A12" s="5" t="s">
        <v>174</v>
      </c>
      <c r="B12" s="18">
        <f>B9*B10/100000</f>
        <v>0.55000000000000004</v>
      </c>
    </row>
    <row r="13" spans="1:6" x14ac:dyDescent="0.35">
      <c r="A13" s="5" t="s">
        <v>175</v>
      </c>
      <c r="B13" s="18">
        <f>B12*(B11-1)</f>
        <v>1.6500000000000001</v>
      </c>
    </row>
    <row r="15" spans="1:6" x14ac:dyDescent="0.35">
      <c r="A15" s="4" t="s">
        <v>176</v>
      </c>
    </row>
    <row r="16" spans="1:6" x14ac:dyDescent="0.35">
      <c r="A16" s="5" t="s">
        <v>177</v>
      </c>
      <c r="B16" s="11">
        <v>45383</v>
      </c>
    </row>
    <row r="17" spans="1:2" x14ac:dyDescent="0.35">
      <c r="A17" s="5" t="s">
        <v>178</v>
      </c>
      <c r="B17" s="22">
        <f>MAX(0,(YEAR(B4)-YEAR(B16))*12+MONTH(B4)-MONTH(B16)+IF(DAY(B4)&gt;DAY(B16),1,0))</f>
        <v>36</v>
      </c>
    </row>
    <row r="18" spans="1:2" x14ac:dyDescent="0.35">
      <c r="A18" s="5" t="s">
        <v>179</v>
      </c>
      <c r="B18" s="16">
        <v>0.39999999999999991</v>
      </c>
    </row>
    <row r="19" spans="1:2" x14ac:dyDescent="0.35">
      <c r="A19" s="5" t="s">
        <v>180</v>
      </c>
      <c r="B19" s="18">
        <f>B17*B18</f>
        <v>14.399999999999997</v>
      </c>
    </row>
    <row r="20" spans="1:2" x14ac:dyDescent="0.35">
      <c r="A20" s="5" t="s">
        <v>181</v>
      </c>
      <c r="B20" s="20">
        <v>5</v>
      </c>
    </row>
    <row r="22" spans="1:2" x14ac:dyDescent="0.35">
      <c r="A22" s="4" t="s">
        <v>182</v>
      </c>
    </row>
    <row r="23" spans="1:2" x14ac:dyDescent="0.35">
      <c r="A23" s="5" t="s">
        <v>183</v>
      </c>
      <c r="B23" s="16">
        <v>2.16</v>
      </c>
    </row>
    <row r="24" spans="1:2" x14ac:dyDescent="0.35">
      <c r="A24" s="5" t="s">
        <v>184</v>
      </c>
      <c r="B24" s="26">
        <v>26</v>
      </c>
    </row>
    <row r="25" spans="1:2" x14ac:dyDescent="0.35">
      <c r="A25" s="5" t="s">
        <v>185</v>
      </c>
      <c r="B25" s="18">
        <f>B23*1%*B24</f>
        <v>0.56159999999999999</v>
      </c>
    </row>
    <row r="27" spans="1:2" x14ac:dyDescent="0.35">
      <c r="A27" s="4" t="s">
        <v>186</v>
      </c>
    </row>
    <row r="28" spans="1:2" x14ac:dyDescent="0.35">
      <c r="A28" s="5" t="s">
        <v>187</v>
      </c>
      <c r="B28" s="20">
        <v>15</v>
      </c>
    </row>
    <row r="29" spans="1:2" x14ac:dyDescent="0.35">
      <c r="A29" s="5" t="s">
        <v>188</v>
      </c>
      <c r="B29" s="20">
        <v>24</v>
      </c>
    </row>
    <row r="30" spans="1:2" x14ac:dyDescent="0.35">
      <c r="A30" s="5" t="s">
        <v>189</v>
      </c>
      <c r="B30" s="9" t="s">
        <v>190</v>
      </c>
    </row>
    <row r="31" spans="1:2" x14ac:dyDescent="0.35">
      <c r="A31" s="5" t="s">
        <v>191</v>
      </c>
      <c r="B31" s="18">
        <f>IF(B30="actuarial",B29-B28,0)</f>
        <v>9</v>
      </c>
    </row>
    <row r="33" spans="1:3" x14ac:dyDescent="0.35">
      <c r="A33" s="4" t="s">
        <v>192</v>
      </c>
    </row>
    <row r="34" spans="1:3" x14ac:dyDescent="0.35">
      <c r="A34" s="12" t="s">
        <v>193</v>
      </c>
      <c r="B34" s="13" t="s">
        <v>194</v>
      </c>
      <c r="C34" s="13" t="s">
        <v>195</v>
      </c>
    </row>
    <row r="35" spans="1:3" x14ac:dyDescent="0.35">
      <c r="A35" s="5" t="s">
        <v>196</v>
      </c>
      <c r="B35" s="5" t="s">
        <v>197</v>
      </c>
      <c r="C35" s="5" t="s">
        <v>198</v>
      </c>
    </row>
    <row r="36" spans="1:3" x14ac:dyDescent="0.35">
      <c r="A36" s="5" t="s">
        <v>199</v>
      </c>
      <c r="B36" s="5" t="s">
        <v>200</v>
      </c>
      <c r="C36" s="5" t="s">
        <v>201</v>
      </c>
    </row>
    <row r="37" spans="1:3" x14ac:dyDescent="0.35">
      <c r="A37" s="5" t="s">
        <v>202</v>
      </c>
      <c r="B37" s="5" t="s">
        <v>203</v>
      </c>
      <c r="C37" s="5" t="s">
        <v>204</v>
      </c>
    </row>
    <row r="38" spans="1:3" x14ac:dyDescent="0.35">
      <c r="A38" s="5" t="s">
        <v>205</v>
      </c>
      <c r="B38" s="5" t="s">
        <v>206</v>
      </c>
      <c r="C38" s="5" t="s">
        <v>207</v>
      </c>
    </row>
    <row r="39" spans="1:3" x14ac:dyDescent="0.35">
      <c r="A39" s="5" t="s">
        <v>208</v>
      </c>
      <c r="B39" s="5" t="s">
        <v>209</v>
      </c>
      <c r="C39" s="5" t="s">
        <v>210</v>
      </c>
    </row>
    <row r="40" spans="1:3" x14ac:dyDescent="0.35">
      <c r="A40" s="5" t="s">
        <v>211</v>
      </c>
      <c r="B40" s="5" t="s">
        <v>212</v>
      </c>
      <c r="C40" s="5" t="s">
        <v>213</v>
      </c>
    </row>
  </sheetData>
  <dataValidations count="1">
    <dataValidation type="list" sqref="B30" xr:uid="{00000000-0002-0000-0400-000000000000}">
      <formula1>"actuarial,book"</formula1>
    </dataValidation>
  </dataValidation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1"/>
  <sheetViews>
    <sheetView showGridLines="0" workbookViewId="0"/>
  </sheetViews>
  <sheetFormatPr defaultRowHeight="14.5" x14ac:dyDescent="0.35"/>
  <cols>
    <col min="1" max="1" width="50" customWidth="1"/>
    <col min="2" max="2" width="11" customWidth="1"/>
    <col min="3" max="3" width="14" customWidth="1"/>
    <col min="4" max="4" width="8" customWidth="1"/>
    <col min="5" max="5" width="11" customWidth="1"/>
    <col min="6" max="6" width="9" customWidth="1"/>
    <col min="7" max="7" width="12" customWidth="1"/>
    <col min="8" max="8" width="11" customWidth="1"/>
    <col min="9" max="9" width="48" customWidth="1"/>
  </cols>
  <sheetData>
    <row r="1" spans="1:9" ht="24" customHeight="1" x14ac:dyDescent="0.4">
      <c r="A1" s="1" t="s">
        <v>214</v>
      </c>
      <c r="B1" s="2"/>
      <c r="C1" s="2"/>
      <c r="D1" s="2"/>
      <c r="E1" s="2"/>
      <c r="F1" s="2"/>
      <c r="G1" s="2"/>
      <c r="H1" s="2"/>
      <c r="I1" s="2"/>
    </row>
    <row r="2" spans="1:9" x14ac:dyDescent="0.35">
      <c r="A2" s="3" t="s">
        <v>215</v>
      </c>
    </row>
    <row r="4" spans="1:9" x14ac:dyDescent="0.35">
      <c r="A4" s="5" t="s">
        <v>216</v>
      </c>
      <c r="B4" s="26">
        <v>4</v>
      </c>
    </row>
    <row r="5" spans="1:9" x14ac:dyDescent="0.35">
      <c r="A5" s="5" t="s">
        <v>217</v>
      </c>
      <c r="B5" s="9" t="s">
        <v>218</v>
      </c>
    </row>
    <row r="6" spans="1:9" x14ac:dyDescent="0.35">
      <c r="A6" s="5" t="s">
        <v>219</v>
      </c>
      <c r="B6" s="27">
        <v>1.5</v>
      </c>
    </row>
    <row r="7" spans="1:9" x14ac:dyDescent="0.35">
      <c r="A7" s="5" t="s">
        <v>220</v>
      </c>
      <c r="B7" s="21">
        <v>0.16</v>
      </c>
    </row>
    <row r="9" spans="1:9" x14ac:dyDescent="0.35">
      <c r="A9" s="12" t="s">
        <v>221</v>
      </c>
      <c r="B9" s="13" t="s">
        <v>222</v>
      </c>
      <c r="C9" s="13" t="s">
        <v>223</v>
      </c>
      <c r="D9" s="13" t="s">
        <v>224</v>
      </c>
      <c r="E9" s="13" t="s">
        <v>225</v>
      </c>
      <c r="F9" s="13" t="s">
        <v>226</v>
      </c>
      <c r="G9" s="13" t="s">
        <v>227</v>
      </c>
      <c r="H9" s="13" t="s">
        <v>228</v>
      </c>
      <c r="I9" s="13" t="s">
        <v>229</v>
      </c>
    </row>
    <row r="10" spans="1:9" x14ac:dyDescent="0.35">
      <c r="A10" s="5" t="s">
        <v>230</v>
      </c>
      <c r="B10" s="14">
        <f>'01_Register'!H10</f>
        <v>9.2976657534246581</v>
      </c>
      <c r="C10" s="14">
        <f>'01_Register'!E10+'01_Register'!F10</f>
        <v>8.5776657534246574</v>
      </c>
      <c r="D10" s="25">
        <v>1</v>
      </c>
      <c r="E10" s="18">
        <f t="shared" ref="E10:E15" si="0">IF($B$5="chip",B10*$B$6,IF($B$5="escrow",B10+B10*$B$6*$B$7,B10))</f>
        <v>13.946498630136986</v>
      </c>
      <c r="F10" s="28" t="str">
        <f t="shared" ref="F10:F15" si="1">IF(ISNUMBER(C10),IF(D10&lt;=$B$4,"Yes","No"),"No")</f>
        <v>Yes</v>
      </c>
      <c r="G10" s="28" t="str">
        <f t="shared" ref="G10:G15" si="2">IF(AND(F10="Yes",N(C10)&lt;=E10+0.000001),"Regularise","Disclose")</f>
        <v>Regularise</v>
      </c>
      <c r="H10" s="18">
        <f t="shared" ref="H10:H15" si="3">IF(G10="Regularise",C10,E10)</f>
        <v>8.5776657534246574</v>
      </c>
      <c r="I10" s="5" t="s">
        <v>231</v>
      </c>
    </row>
    <row r="11" spans="1:9" ht="25" x14ac:dyDescent="0.35">
      <c r="A11" s="5" t="s">
        <v>232</v>
      </c>
      <c r="B11" s="14">
        <f>'01_Register'!H11</f>
        <v>0.64800000000000013</v>
      </c>
      <c r="C11" s="14">
        <f>'01_Register'!H11</f>
        <v>0.64800000000000013</v>
      </c>
      <c r="D11" s="25">
        <v>1</v>
      </c>
      <c r="E11" s="18">
        <f t="shared" si="0"/>
        <v>0.9720000000000002</v>
      </c>
      <c r="F11" s="28" t="str">
        <f t="shared" si="1"/>
        <v>Yes</v>
      </c>
      <c r="G11" s="28" t="str">
        <f t="shared" si="2"/>
        <v>Regularise</v>
      </c>
      <c r="H11" s="18">
        <f t="shared" si="3"/>
        <v>0.64800000000000013</v>
      </c>
      <c r="I11" s="5" t="s">
        <v>233</v>
      </c>
    </row>
    <row r="12" spans="1:9" x14ac:dyDescent="0.35">
      <c r="A12" s="5" t="s">
        <v>234</v>
      </c>
      <c r="B12" s="14">
        <f>'01_Register'!H12</f>
        <v>2.6280000000000001</v>
      </c>
      <c r="C12" s="14">
        <f>'01_Register'!H12</f>
        <v>2.6280000000000001</v>
      </c>
      <c r="D12" s="25">
        <v>2</v>
      </c>
      <c r="E12" s="18">
        <f t="shared" si="0"/>
        <v>3.9420000000000002</v>
      </c>
      <c r="F12" s="28" t="str">
        <f t="shared" si="1"/>
        <v>Yes</v>
      </c>
      <c r="G12" s="28" t="str">
        <f t="shared" si="2"/>
        <v>Regularise</v>
      </c>
      <c r="H12" s="18">
        <f t="shared" si="3"/>
        <v>2.6280000000000001</v>
      </c>
      <c r="I12" s="5" t="s">
        <v>235</v>
      </c>
    </row>
    <row r="13" spans="1:9" x14ac:dyDescent="0.35">
      <c r="A13" s="5" t="s">
        <v>236</v>
      </c>
      <c r="B13" s="14">
        <f>'01_Register'!H14</f>
        <v>9</v>
      </c>
      <c r="C13" s="14">
        <f>'01_Register'!H14</f>
        <v>9</v>
      </c>
      <c r="D13" s="25">
        <v>2</v>
      </c>
      <c r="E13" s="18">
        <f t="shared" si="0"/>
        <v>13.5</v>
      </c>
      <c r="F13" s="28" t="str">
        <f t="shared" si="1"/>
        <v>Yes</v>
      </c>
      <c r="G13" s="28" t="str">
        <f t="shared" si="2"/>
        <v>Regularise</v>
      </c>
      <c r="H13" s="18">
        <f t="shared" si="3"/>
        <v>9</v>
      </c>
      <c r="I13" s="5" t="s">
        <v>237</v>
      </c>
    </row>
    <row r="14" spans="1:9" x14ac:dyDescent="0.35">
      <c r="A14" s="5" t="s">
        <v>238</v>
      </c>
      <c r="B14" s="14">
        <f>'01_Register'!H13</f>
        <v>0.56159999999999999</v>
      </c>
      <c r="C14" s="5" t="s">
        <v>239</v>
      </c>
      <c r="E14" s="18">
        <f t="shared" si="0"/>
        <v>0.84240000000000004</v>
      </c>
      <c r="F14" s="28" t="str">
        <f t="shared" si="1"/>
        <v>No</v>
      </c>
      <c r="G14" s="28" t="str">
        <f t="shared" si="2"/>
        <v>Disclose</v>
      </c>
      <c r="H14" s="18">
        <f t="shared" si="3"/>
        <v>0.84240000000000004</v>
      </c>
      <c r="I14" s="5" t="s">
        <v>240</v>
      </c>
    </row>
    <row r="15" spans="1:9" x14ac:dyDescent="0.35">
      <c r="A15" s="5" t="s">
        <v>241</v>
      </c>
      <c r="B15" s="14">
        <f>'01_Register'!H15</f>
        <v>0.55000000000000004</v>
      </c>
      <c r="C15" s="5" t="s">
        <v>239</v>
      </c>
      <c r="E15" s="18">
        <f t="shared" si="0"/>
        <v>0.82500000000000007</v>
      </c>
      <c r="F15" s="28" t="str">
        <f t="shared" si="1"/>
        <v>No</v>
      </c>
      <c r="G15" s="28" t="str">
        <f t="shared" si="2"/>
        <v>Disclose</v>
      </c>
      <c r="H15" s="18">
        <f t="shared" si="3"/>
        <v>0.82500000000000007</v>
      </c>
      <c r="I15" s="5" t="s">
        <v>242</v>
      </c>
    </row>
    <row r="17" spans="1:8" x14ac:dyDescent="0.35">
      <c r="A17" s="17" t="s">
        <v>243</v>
      </c>
      <c r="H17" s="15">
        <f>SUM(H10:H15)</f>
        <v>22.521065753424658</v>
      </c>
    </row>
    <row r="18" spans="1:8" x14ac:dyDescent="0.35">
      <c r="A18" s="5" t="s">
        <v>244</v>
      </c>
      <c r="H18" s="18">
        <f>SUM(E10:E15)</f>
        <v>34.027898630136988</v>
      </c>
    </row>
    <row r="19" spans="1:8" x14ac:dyDescent="0.35">
      <c r="A19" s="5" t="s">
        <v>245</v>
      </c>
      <c r="H19" s="18">
        <f>H18-H17</f>
        <v>11.50683287671233</v>
      </c>
    </row>
    <row r="21" spans="1:8" x14ac:dyDescent="0.35">
      <c r="A21" s="5" t="s">
        <v>246</v>
      </c>
    </row>
  </sheetData>
  <dataValidations count="1">
    <dataValidation type="list" sqref="B5" xr:uid="{00000000-0002-0000-0500-000000000000}">
      <formula1>"chip,escrow,indemnity"</formula1>
    </dataValidation>
  </dataValidation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0"/>
  <sheetViews>
    <sheetView showGridLines="0" workbookViewId="0"/>
  </sheetViews>
  <sheetFormatPr defaultRowHeight="14.5" x14ac:dyDescent="0.35"/>
  <cols>
    <col min="1" max="1" width="44" customWidth="1"/>
    <col min="2" max="2" width="24" customWidth="1"/>
  </cols>
  <sheetData>
    <row r="1" spans="1:14" ht="24" customHeight="1" x14ac:dyDescent="0.4">
      <c r="A1" s="1" t="s">
        <v>247</v>
      </c>
      <c r="B1" s="2"/>
      <c r="C1" s="2"/>
      <c r="D1" s="2"/>
      <c r="E1" s="2"/>
      <c r="F1" s="2"/>
      <c r="G1" s="2"/>
      <c r="H1" s="2"/>
      <c r="I1" s="2"/>
      <c r="J1" s="2"/>
      <c r="K1" s="2"/>
      <c r="L1" s="2"/>
      <c r="M1" s="2"/>
      <c r="N1" s="2"/>
    </row>
    <row r="2" spans="1:14" x14ac:dyDescent="0.35">
      <c r="A2" s="3" t="s">
        <v>248</v>
      </c>
    </row>
    <row r="4" spans="1:14" x14ac:dyDescent="0.35">
      <c r="A4" s="5" t="s">
        <v>249</v>
      </c>
      <c r="B4" s="9" t="s">
        <v>250</v>
      </c>
    </row>
    <row r="6" spans="1:14" ht="65" x14ac:dyDescent="0.35">
      <c r="A6" s="12" t="s">
        <v>251</v>
      </c>
      <c r="B6" s="13" t="s">
        <v>252</v>
      </c>
      <c r="C6" s="13" t="s">
        <v>253</v>
      </c>
      <c r="D6" s="13" t="s">
        <v>254</v>
      </c>
      <c r="E6" s="13" t="s">
        <v>255</v>
      </c>
      <c r="F6" s="13" t="s">
        <v>256</v>
      </c>
      <c r="G6" s="13" t="s">
        <v>257</v>
      </c>
      <c r="H6" s="13" t="s">
        <v>258</v>
      </c>
      <c r="I6" s="13" t="s">
        <v>259</v>
      </c>
      <c r="J6" s="13" t="s">
        <v>260</v>
      </c>
      <c r="K6" s="13" t="s">
        <v>261</v>
      </c>
      <c r="L6" s="13" t="s">
        <v>262</v>
      </c>
      <c r="M6" s="13" t="s">
        <v>263</v>
      </c>
      <c r="N6" s="13" t="s">
        <v>264</v>
      </c>
    </row>
    <row r="7" spans="1:14" x14ac:dyDescent="0.35">
      <c r="A7" s="5" t="s">
        <v>265</v>
      </c>
      <c r="B7" s="5" t="s">
        <v>253</v>
      </c>
      <c r="C7" s="25">
        <v>1</v>
      </c>
      <c r="D7" s="25">
        <v>0</v>
      </c>
      <c r="E7" s="25">
        <v>0</v>
      </c>
      <c r="F7" s="25">
        <v>0</v>
      </c>
      <c r="G7" s="25">
        <v>0</v>
      </c>
      <c r="H7" s="25">
        <v>1</v>
      </c>
      <c r="I7" s="22">
        <f t="shared" ref="I7:N7" si="0">IF(C7=1,IF($B$4="every",1,IF(AND($B$4="primary",$B7=C6),1,0)),0)</f>
        <v>1</v>
      </c>
      <c r="J7" s="22">
        <f t="shared" si="0"/>
        <v>0</v>
      </c>
      <c r="K7" s="22">
        <f t="shared" si="0"/>
        <v>0</v>
      </c>
      <c r="L7" s="22">
        <f t="shared" si="0"/>
        <v>0</v>
      </c>
      <c r="M7" s="22">
        <f t="shared" si="0"/>
        <v>0</v>
      </c>
      <c r="N7" s="22">
        <f t="shared" si="0"/>
        <v>1</v>
      </c>
    </row>
    <row r="8" spans="1:14" x14ac:dyDescent="0.35">
      <c r="A8" s="5" t="s">
        <v>266</v>
      </c>
      <c r="B8" s="5" t="s">
        <v>253</v>
      </c>
      <c r="C8" s="25">
        <v>1</v>
      </c>
      <c r="D8" s="25">
        <v>0</v>
      </c>
      <c r="E8" s="25">
        <v>0</v>
      </c>
      <c r="F8" s="25">
        <v>0</v>
      </c>
      <c r="G8" s="25">
        <v>0</v>
      </c>
      <c r="H8" s="25">
        <v>1</v>
      </c>
      <c r="I8" s="22">
        <f t="shared" ref="I8:N8" si="1">IF(C8=1,IF($B$4="every",1,IF(AND($B$4="primary",$B8=C6),1,0)),0)</f>
        <v>1</v>
      </c>
      <c r="J8" s="22">
        <f t="shared" si="1"/>
        <v>0</v>
      </c>
      <c r="K8" s="22">
        <f t="shared" si="1"/>
        <v>0</v>
      </c>
      <c r="L8" s="22">
        <f t="shared" si="1"/>
        <v>0</v>
      </c>
      <c r="M8" s="22">
        <f t="shared" si="1"/>
        <v>0</v>
      </c>
      <c r="N8" s="22">
        <f t="shared" si="1"/>
        <v>1</v>
      </c>
    </row>
    <row r="9" spans="1:14" x14ac:dyDescent="0.35">
      <c r="A9" s="5" t="s">
        <v>267</v>
      </c>
      <c r="B9" s="5" t="s">
        <v>253</v>
      </c>
      <c r="C9" s="25">
        <v>1</v>
      </c>
      <c r="D9" s="25">
        <v>1</v>
      </c>
      <c r="E9" s="25">
        <v>0</v>
      </c>
      <c r="F9" s="25">
        <v>0</v>
      </c>
      <c r="G9" s="25">
        <v>0</v>
      </c>
      <c r="H9" s="25">
        <v>0</v>
      </c>
      <c r="I9" s="22">
        <f t="shared" ref="I9:N9" si="2">IF(C9=1,IF($B$4="every",1,IF(AND($B$4="primary",$B9=C6),1,0)),0)</f>
        <v>1</v>
      </c>
      <c r="J9" s="22">
        <f t="shared" si="2"/>
        <v>1</v>
      </c>
      <c r="K9" s="22">
        <f t="shared" si="2"/>
        <v>0</v>
      </c>
      <c r="L9" s="22">
        <f t="shared" si="2"/>
        <v>0</v>
      </c>
      <c r="M9" s="22">
        <f t="shared" si="2"/>
        <v>0</v>
      </c>
      <c r="N9" s="22">
        <f t="shared" si="2"/>
        <v>0</v>
      </c>
    </row>
    <row r="10" spans="1:14" x14ac:dyDescent="0.35">
      <c r="A10" s="5" t="s">
        <v>268</v>
      </c>
      <c r="B10" s="5" t="s">
        <v>255</v>
      </c>
      <c r="C10" s="25">
        <v>0</v>
      </c>
      <c r="D10" s="25">
        <v>1</v>
      </c>
      <c r="E10" s="25">
        <v>1</v>
      </c>
      <c r="F10" s="25">
        <v>0</v>
      </c>
      <c r="G10" s="25">
        <v>0</v>
      </c>
      <c r="H10" s="25">
        <v>0</v>
      </c>
      <c r="I10" s="22">
        <f t="shared" ref="I10:N10" si="3">IF(C10=1,IF($B$4="every",1,IF(AND($B$4="primary",$B10=C6),1,0)),0)</f>
        <v>0</v>
      </c>
      <c r="J10" s="22">
        <f t="shared" si="3"/>
        <v>1</v>
      </c>
      <c r="K10" s="22">
        <f t="shared" si="3"/>
        <v>1</v>
      </c>
      <c r="L10" s="22">
        <f t="shared" si="3"/>
        <v>0</v>
      </c>
      <c r="M10" s="22">
        <f t="shared" si="3"/>
        <v>0</v>
      </c>
      <c r="N10" s="22">
        <f t="shared" si="3"/>
        <v>0</v>
      </c>
    </row>
    <row r="11" spans="1:14" x14ac:dyDescent="0.35">
      <c r="A11" s="5" t="s">
        <v>269</v>
      </c>
      <c r="B11" s="5" t="s">
        <v>255</v>
      </c>
      <c r="C11" s="25">
        <v>0</v>
      </c>
      <c r="D11" s="25">
        <v>0</v>
      </c>
      <c r="E11" s="25">
        <v>1</v>
      </c>
      <c r="F11" s="25">
        <v>0</v>
      </c>
      <c r="G11" s="25">
        <v>0</v>
      </c>
      <c r="H11" s="25">
        <v>1</v>
      </c>
      <c r="I11" s="22">
        <f t="shared" ref="I11:N11" si="4">IF(C11=1,IF($B$4="every",1,IF(AND($B$4="primary",$B11=C6),1,0)),0)</f>
        <v>0</v>
      </c>
      <c r="J11" s="22">
        <f t="shared" si="4"/>
        <v>0</v>
      </c>
      <c r="K11" s="22">
        <f t="shared" si="4"/>
        <v>1</v>
      </c>
      <c r="L11" s="22">
        <f t="shared" si="4"/>
        <v>0</v>
      </c>
      <c r="M11" s="22">
        <f t="shared" si="4"/>
        <v>0</v>
      </c>
      <c r="N11" s="22">
        <f t="shared" si="4"/>
        <v>1</v>
      </c>
    </row>
    <row r="12" spans="1:14" x14ac:dyDescent="0.35">
      <c r="A12" s="5" t="s">
        <v>270</v>
      </c>
      <c r="B12" s="5" t="s">
        <v>257</v>
      </c>
      <c r="C12" s="25">
        <v>0</v>
      </c>
      <c r="D12" s="25">
        <v>1</v>
      </c>
      <c r="E12" s="25">
        <v>0</v>
      </c>
      <c r="F12" s="25">
        <v>0</v>
      </c>
      <c r="G12" s="25">
        <v>1</v>
      </c>
      <c r="H12" s="25">
        <v>0</v>
      </c>
      <c r="I12" s="22">
        <f t="shared" ref="I12:N12" si="5">IF(C12=1,IF($B$4="every",1,IF(AND($B$4="primary",$B12=C6),1,0)),0)</f>
        <v>0</v>
      </c>
      <c r="J12" s="22">
        <f t="shared" si="5"/>
        <v>1</v>
      </c>
      <c r="K12" s="22">
        <f t="shared" si="5"/>
        <v>0</v>
      </c>
      <c r="L12" s="22">
        <f t="shared" si="5"/>
        <v>0</v>
      </c>
      <c r="M12" s="22">
        <f t="shared" si="5"/>
        <v>1</v>
      </c>
      <c r="N12" s="22">
        <f t="shared" si="5"/>
        <v>0</v>
      </c>
    </row>
    <row r="13" spans="1:14" x14ac:dyDescent="0.35">
      <c r="A13" s="5" t="s">
        <v>271</v>
      </c>
      <c r="B13" s="5" t="s">
        <v>257</v>
      </c>
      <c r="C13" s="25">
        <v>0</v>
      </c>
      <c r="D13" s="25">
        <v>0</v>
      </c>
      <c r="E13" s="25">
        <v>1</v>
      </c>
      <c r="F13" s="25">
        <v>0</v>
      </c>
      <c r="G13" s="25">
        <v>1</v>
      </c>
      <c r="H13" s="25">
        <v>0</v>
      </c>
      <c r="I13" s="22">
        <f t="shared" ref="I13:N13" si="6">IF(C13=1,IF($B$4="every",1,IF(AND($B$4="primary",$B13=C6),1,0)),0)</f>
        <v>0</v>
      </c>
      <c r="J13" s="22">
        <f t="shared" si="6"/>
        <v>0</v>
      </c>
      <c r="K13" s="22">
        <f t="shared" si="6"/>
        <v>1</v>
      </c>
      <c r="L13" s="22">
        <f t="shared" si="6"/>
        <v>0</v>
      </c>
      <c r="M13" s="22">
        <f t="shared" si="6"/>
        <v>1</v>
      </c>
      <c r="N13" s="22">
        <f t="shared" si="6"/>
        <v>0</v>
      </c>
    </row>
    <row r="14" spans="1:14" x14ac:dyDescent="0.35">
      <c r="A14" s="5" t="s">
        <v>272</v>
      </c>
      <c r="B14" s="5" t="s">
        <v>256</v>
      </c>
      <c r="C14" s="25">
        <v>1</v>
      </c>
      <c r="D14" s="25">
        <v>1</v>
      </c>
      <c r="E14" s="25">
        <v>0</v>
      </c>
      <c r="F14" s="25">
        <v>1</v>
      </c>
      <c r="G14" s="25">
        <v>0</v>
      </c>
      <c r="H14" s="25">
        <v>0</v>
      </c>
      <c r="I14" s="22">
        <f t="shared" ref="I14:N14" si="7">IF(C14=1,IF($B$4="every",1,IF(AND($B$4="primary",$B14=C6),1,0)),0)</f>
        <v>1</v>
      </c>
      <c r="J14" s="22">
        <f t="shared" si="7"/>
        <v>1</v>
      </c>
      <c r="K14" s="22">
        <f t="shared" si="7"/>
        <v>0</v>
      </c>
      <c r="L14" s="22">
        <f t="shared" si="7"/>
        <v>1</v>
      </c>
      <c r="M14" s="22">
        <f t="shared" si="7"/>
        <v>0</v>
      </c>
      <c r="N14" s="22">
        <f t="shared" si="7"/>
        <v>0</v>
      </c>
    </row>
    <row r="15" spans="1:14" x14ac:dyDescent="0.35">
      <c r="A15" s="5" t="s">
        <v>273</v>
      </c>
      <c r="B15" s="5" t="s">
        <v>255</v>
      </c>
      <c r="C15" s="25">
        <v>0</v>
      </c>
      <c r="D15" s="25">
        <v>1</v>
      </c>
      <c r="E15" s="25">
        <v>1</v>
      </c>
      <c r="F15" s="25">
        <v>0</v>
      </c>
      <c r="G15" s="25">
        <v>0</v>
      </c>
      <c r="H15" s="25">
        <v>0</v>
      </c>
      <c r="I15" s="22">
        <f t="shared" ref="I15:N15" si="8">IF(C15=1,IF($B$4="every",1,IF(AND($B$4="primary",$B15=C6),1,0)),0)</f>
        <v>0</v>
      </c>
      <c r="J15" s="22">
        <f t="shared" si="8"/>
        <v>1</v>
      </c>
      <c r="K15" s="22">
        <f t="shared" si="8"/>
        <v>1</v>
      </c>
      <c r="L15" s="22">
        <f t="shared" si="8"/>
        <v>0</v>
      </c>
      <c r="M15" s="22">
        <f t="shared" si="8"/>
        <v>0</v>
      </c>
      <c r="N15" s="22">
        <f t="shared" si="8"/>
        <v>0</v>
      </c>
    </row>
    <row r="17" spans="1:2" x14ac:dyDescent="0.35">
      <c r="A17" s="17" t="s">
        <v>274</v>
      </c>
      <c r="B17" s="22">
        <f>SUM(C7:H15)</f>
        <v>19</v>
      </c>
    </row>
    <row r="18" spans="1:2" x14ac:dyDescent="0.35">
      <c r="A18" s="17" t="s">
        <v>275</v>
      </c>
      <c r="B18" s="29">
        <f>SUM(I7:N15)</f>
        <v>19</v>
      </c>
    </row>
    <row r="19" spans="1:2" x14ac:dyDescent="0.35">
      <c r="A19" s="5" t="s">
        <v>276</v>
      </c>
      <c r="B19" s="30">
        <f>B18/B17</f>
        <v>1</v>
      </c>
    </row>
    <row r="20" spans="1:2" x14ac:dyDescent="0.35">
      <c r="A20" s="5" t="s">
        <v>277</v>
      </c>
      <c r="B20" s="25">
        <v>4</v>
      </c>
    </row>
  </sheetData>
  <dataValidations count="1">
    <dataValidation type="list" sqref="B4" xr:uid="{00000000-0002-0000-0600-000000000000}">
      <formula1>"every,primary,dataRoom"</formula1>
    </dataValidation>
  </dataValidation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9"/>
  <sheetViews>
    <sheetView showGridLines="0" workbookViewId="0"/>
  </sheetViews>
  <sheetFormatPr defaultRowHeight="14.5" x14ac:dyDescent="0.35"/>
  <cols>
    <col min="1" max="1" width="6" customWidth="1"/>
    <col min="2" max="2" width="120" customWidth="1"/>
  </cols>
  <sheetData>
    <row r="1" spans="1:2" ht="24" customHeight="1" x14ac:dyDescent="0.4">
      <c r="A1" s="1" t="s">
        <v>278</v>
      </c>
      <c r="B1" s="2"/>
    </row>
    <row r="2" spans="1:2" x14ac:dyDescent="0.35">
      <c r="A2" s="3" t="s">
        <v>279</v>
      </c>
    </row>
    <row r="4" spans="1:2" ht="25" x14ac:dyDescent="0.35">
      <c r="A4" s="5" t="s">
        <v>3</v>
      </c>
      <c r="B4" s="5" t="s">
        <v>280</v>
      </c>
    </row>
    <row r="5" spans="1:2" ht="25" x14ac:dyDescent="0.35">
      <c r="A5" s="5" t="s">
        <v>5</v>
      </c>
      <c r="B5" s="5" t="s">
        <v>281</v>
      </c>
    </row>
    <row r="6" spans="1:2" ht="25" x14ac:dyDescent="0.35">
      <c r="A6" s="5" t="s">
        <v>7</v>
      </c>
      <c r="B6" s="5" t="s">
        <v>282</v>
      </c>
    </row>
    <row r="7" spans="1:2" ht="25" x14ac:dyDescent="0.35">
      <c r="A7" s="5" t="s">
        <v>9</v>
      </c>
      <c r="B7" s="5" t="s">
        <v>283</v>
      </c>
    </row>
    <row r="8" spans="1:2" x14ac:dyDescent="0.35">
      <c r="A8" s="5" t="s">
        <v>284</v>
      </c>
      <c r="B8" s="5" t="s">
        <v>285</v>
      </c>
    </row>
    <row r="9" spans="1:2" ht="25" x14ac:dyDescent="0.35">
      <c r="A9" s="5" t="s">
        <v>286</v>
      </c>
      <c r="B9" s="5" t="s">
        <v>287</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6"/>
  <sheetViews>
    <sheetView showGridLines="0" workbookViewId="0"/>
  </sheetViews>
  <sheetFormatPr defaultRowHeight="14.5" x14ac:dyDescent="0.35"/>
  <cols>
    <col min="1" max="1" width="50" customWidth="1"/>
    <col min="2" max="3" width="16" customWidth="1"/>
    <col min="4" max="4" width="12" customWidth="1"/>
    <col min="5" max="6" width="10" customWidth="1"/>
  </cols>
  <sheetData>
    <row r="1" spans="1:6" ht="24" customHeight="1" x14ac:dyDescent="0.4">
      <c r="A1" s="1" t="s">
        <v>288</v>
      </c>
      <c r="B1" s="2"/>
      <c r="C1" s="2"/>
      <c r="D1" s="2"/>
      <c r="E1" s="2"/>
      <c r="F1" s="2"/>
    </row>
    <row r="2" spans="1:6" x14ac:dyDescent="0.35">
      <c r="A2" s="3" t="s">
        <v>289</v>
      </c>
    </row>
    <row r="3" spans="1:6" x14ac:dyDescent="0.35">
      <c r="A3" s="12" t="s">
        <v>290</v>
      </c>
      <c r="B3" s="13" t="s">
        <v>291</v>
      </c>
      <c r="C3" s="13" t="s">
        <v>292</v>
      </c>
      <c r="D3" s="13" t="s">
        <v>293</v>
      </c>
      <c r="E3" s="13" t="s">
        <v>195</v>
      </c>
      <c r="F3" s="13" t="s">
        <v>294</v>
      </c>
    </row>
    <row r="4" spans="1:6" x14ac:dyDescent="0.35">
      <c r="A4" s="5" t="s">
        <v>295</v>
      </c>
      <c r="B4" s="16">
        <v>22.685265753424659</v>
      </c>
      <c r="C4" s="14">
        <f>'01_Register'!H20</f>
        <v>22.685265753424659</v>
      </c>
      <c r="D4" s="18">
        <f t="shared" ref="D4:D16" si="0">C4-B4</f>
        <v>0</v>
      </c>
      <c r="E4" s="28" t="str">
        <f t="shared" ref="E4:E16" si="1">IF(ABS(D4)&lt;=F4+0.000000001,"Agrees","Differs")</f>
        <v>Agrees</v>
      </c>
      <c r="F4" s="16">
        <v>1E-4</v>
      </c>
    </row>
    <row r="5" spans="1:6" x14ac:dyDescent="0.35">
      <c r="A5" s="5" t="s">
        <v>296</v>
      </c>
      <c r="B5" s="16">
        <v>7.2000000000000011</v>
      </c>
      <c r="C5" s="14">
        <f>'01_Register'!I21</f>
        <v>7.1999999999999993</v>
      </c>
      <c r="D5" s="18">
        <f t="shared" si="0"/>
        <v>0</v>
      </c>
      <c r="E5" s="28" t="str">
        <f t="shared" si="1"/>
        <v>Agrees</v>
      </c>
      <c r="F5" s="16">
        <v>1E-4</v>
      </c>
    </row>
    <row r="6" spans="1:6" x14ac:dyDescent="0.35">
      <c r="A6" s="5" t="s">
        <v>297</v>
      </c>
      <c r="B6" s="16">
        <v>6.65</v>
      </c>
      <c r="C6" s="14">
        <f>'01_Register'!J22</f>
        <v>6.65</v>
      </c>
      <c r="D6" s="18">
        <f t="shared" si="0"/>
        <v>0</v>
      </c>
      <c r="E6" s="28" t="str">
        <f t="shared" si="1"/>
        <v>Agrees</v>
      </c>
      <c r="F6" s="16">
        <v>1E-4</v>
      </c>
    </row>
    <row r="7" spans="1:6" x14ac:dyDescent="0.35">
      <c r="A7" s="5" t="s">
        <v>298</v>
      </c>
      <c r="B7" s="16">
        <v>9.2976657534246563</v>
      </c>
      <c r="C7" s="14">
        <f>'01_Register'!H10</f>
        <v>9.2976657534246581</v>
      </c>
      <c r="D7" s="18">
        <f t="shared" si="0"/>
        <v>0</v>
      </c>
      <c r="E7" s="28" t="str">
        <f t="shared" si="1"/>
        <v>Agrees</v>
      </c>
      <c r="F7" s="16">
        <v>1E-4</v>
      </c>
    </row>
    <row r="8" spans="1:6" x14ac:dyDescent="0.35">
      <c r="A8" s="5" t="s">
        <v>299</v>
      </c>
      <c r="B8" s="16">
        <v>9.460997260273972</v>
      </c>
      <c r="C8" s="14">
        <f>'03_Tax'!B5+'03_Tax'!B5*'03_Tax'!B7*('01_Register'!E5-'03_Tax'!B6)/365+MAX('03_Tax'!B8*'03_Tax'!B5,'03_Tax'!B9)</f>
        <v>9.460997260273972</v>
      </c>
      <c r="D8" s="18">
        <f t="shared" si="0"/>
        <v>0</v>
      </c>
      <c r="E8" s="28" t="str">
        <f t="shared" si="1"/>
        <v>Agrees</v>
      </c>
      <c r="F8" s="16">
        <v>1E-4</v>
      </c>
    </row>
    <row r="9" spans="1:6" x14ac:dyDescent="0.35">
      <c r="A9" s="5" t="s">
        <v>300</v>
      </c>
      <c r="B9" s="16">
        <v>5.6879999999999997</v>
      </c>
      <c r="C9" s="14">
        <f>SUM('03_Tax'!C26:C37)+SUMPRODUCT('03_Tax'!C26:C37,'03_Tax'!B20*((YEAR('01_Register'!D5)-YEAR('03_Tax'!A26:A37))*12+MONTH('01_Register'!D5)-MONTH('03_Tax'!A26:A37)+(DAY('01_Register'!D5)&gt;DAY('03_Tax'!A26:A37))))</f>
        <v>5.6879999999999997</v>
      </c>
      <c r="D9" s="18">
        <f t="shared" si="0"/>
        <v>0</v>
      </c>
      <c r="E9" s="28" t="str">
        <f t="shared" si="1"/>
        <v>Agrees</v>
      </c>
      <c r="F9" s="16">
        <v>1E-4</v>
      </c>
    </row>
    <row r="10" spans="1:6" x14ac:dyDescent="0.35">
      <c r="A10" s="5" t="s">
        <v>301</v>
      </c>
      <c r="B10" s="16">
        <v>2.6280000000000001</v>
      </c>
      <c r="C10" s="14">
        <f>'01_Register'!H12</f>
        <v>2.6280000000000001</v>
      </c>
      <c r="D10" s="18">
        <f t="shared" si="0"/>
        <v>0</v>
      </c>
      <c r="E10" s="28" t="str">
        <f t="shared" si="1"/>
        <v>Agrees</v>
      </c>
      <c r="F10" s="16">
        <v>1E-4</v>
      </c>
    </row>
    <row r="11" spans="1:6" x14ac:dyDescent="0.35">
      <c r="A11" s="5" t="s">
        <v>302</v>
      </c>
      <c r="B11" s="16">
        <v>0.56159999999999999</v>
      </c>
      <c r="C11" s="14">
        <f>'01_Register'!H13</f>
        <v>0.56159999999999999</v>
      </c>
      <c r="D11" s="18">
        <f t="shared" si="0"/>
        <v>0</v>
      </c>
      <c r="E11" s="28" t="str">
        <f t="shared" si="1"/>
        <v>Agrees</v>
      </c>
      <c r="F11" s="16">
        <v>1E-4</v>
      </c>
    </row>
    <row r="12" spans="1:6" x14ac:dyDescent="0.35">
      <c r="A12" s="5" t="s">
        <v>303</v>
      </c>
      <c r="B12" s="16">
        <v>9</v>
      </c>
      <c r="C12" s="14">
        <f>'01_Register'!H14</f>
        <v>9</v>
      </c>
      <c r="D12" s="18">
        <f t="shared" si="0"/>
        <v>0</v>
      </c>
      <c r="E12" s="28" t="str">
        <f t="shared" si="1"/>
        <v>Agrees</v>
      </c>
      <c r="F12" s="16">
        <v>1E-4</v>
      </c>
    </row>
    <row r="13" spans="1:6" x14ac:dyDescent="0.35">
      <c r="A13" s="5" t="s">
        <v>304</v>
      </c>
      <c r="B13" s="16">
        <v>0.54999999999999993</v>
      </c>
      <c r="C13" s="14">
        <f>'01_Register'!H15</f>
        <v>0.55000000000000004</v>
      </c>
      <c r="D13" s="18">
        <f t="shared" si="0"/>
        <v>0</v>
      </c>
      <c r="E13" s="28" t="str">
        <f t="shared" si="1"/>
        <v>Agrees</v>
      </c>
      <c r="F13" s="16">
        <v>1E-4</v>
      </c>
    </row>
    <row r="14" spans="1:6" x14ac:dyDescent="0.35">
      <c r="A14" s="5" t="s">
        <v>305</v>
      </c>
      <c r="B14" s="16">
        <v>22.521065753424651</v>
      </c>
      <c r="C14" s="14">
        <f>'05_Regularise_or_Disclose'!H17</f>
        <v>22.521065753424658</v>
      </c>
      <c r="D14" s="18">
        <f t="shared" si="0"/>
        <v>0</v>
      </c>
      <c r="E14" s="28" t="str">
        <f t="shared" si="1"/>
        <v>Agrees</v>
      </c>
      <c r="F14" s="16">
        <v>1E-4</v>
      </c>
    </row>
    <row r="15" spans="1:6" x14ac:dyDescent="0.35">
      <c r="A15" s="5" t="s">
        <v>306</v>
      </c>
      <c r="B15" s="16">
        <v>34.027898630136988</v>
      </c>
      <c r="C15" s="14">
        <f>'05_Regularise_or_Disclose'!H18</f>
        <v>34.027898630136988</v>
      </c>
      <c r="D15" s="18">
        <f t="shared" si="0"/>
        <v>0</v>
      </c>
      <c r="E15" s="28" t="str">
        <f t="shared" si="1"/>
        <v>Agrees</v>
      </c>
      <c r="F15" s="16">
        <v>1E-4</v>
      </c>
    </row>
    <row r="16" spans="1:6" x14ac:dyDescent="0.35">
      <c r="A16" s="5" t="s">
        <v>275</v>
      </c>
      <c r="B16" s="25">
        <v>19</v>
      </c>
      <c r="C16" s="31">
        <f>'06_Warranty_Map'!B18</f>
        <v>19</v>
      </c>
      <c r="D16" s="18">
        <f t="shared" si="0"/>
        <v>0</v>
      </c>
      <c r="E16" s="28" t="str">
        <f t="shared" si="1"/>
        <v>Agrees</v>
      </c>
      <c r="F16" s="16">
        <v>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ReadMe</vt:lpstr>
      <vt:lpstr>01_Register</vt:lpstr>
      <vt:lpstr>02_Calculator</vt:lpstr>
      <vt:lpstr>03_Tax</vt:lpstr>
      <vt:lpstr>04_Corporate_Labour</vt:lpstr>
      <vt:lpstr>05_Regularise_or_Disclose</vt:lpstr>
      <vt:lpstr>06_Warranty_Map</vt:lpstr>
      <vt:lpstr>07_AI_Spec</vt:lpstr>
      <vt:lpstr>08_Answer_Check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Anbuselvan A S</cp:lastModifiedBy>
  <dcterms:created xsi:type="dcterms:W3CDTF">2026-09-25T21:17:45Z</dcterms:created>
  <dcterms:modified xsi:type="dcterms:W3CDTF">2026-09-25T21:17:54Z</dcterms:modified>
</cp:coreProperties>
</file>