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Anbuselvan\Projects\Dissent Courses\studio\public\courses\financial-modelling-ai-era\"/>
    </mc:Choice>
  </mc:AlternateContent>
  <xr:revisionPtr revIDLastSave="0" documentId="13_ncr:1_{F323AEF2-1E12-4F24-B037-27DAA927F088}" xr6:coauthVersionLast="47" xr6:coauthVersionMax="47" xr10:uidLastSave="{00000000-0000-0000-0000-000000000000}"/>
  <bookViews>
    <workbookView xWindow="2280" yWindow="2280" windowWidth="14400" windowHeight="8170" xr2:uid="{00000000-000D-0000-FFFF-FFFF00000000}"/>
  </bookViews>
  <sheets>
    <sheet name="ReadMe" sheetId="1" r:id="rId1"/>
    <sheet name="01_Case" sheetId="2" r:id="rId2"/>
    <sheet name="02_Historicals" sheetId="3" r:id="rId3"/>
    <sheet name="03_Drivers" sheetId="4" r:id="rId4"/>
    <sheet name="04_Build" sheetId="5" r:id="rId5"/>
    <sheet name="05_Valuation" sheetId="6" r:id="rId6"/>
    <sheet name="06_Spec" sheetId="7" r:id="rId7"/>
    <sheet name="07_Answer_Check" sheetId="8"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6" l="1"/>
  <c r="B22" i="6" s="1"/>
  <c r="B19" i="6"/>
  <c r="B17" i="6"/>
  <c r="B18" i="6" s="1"/>
  <c r="B20" i="6" s="1"/>
  <c r="D41" i="5"/>
  <c r="C31" i="5"/>
  <c r="C30" i="5"/>
  <c r="D30" i="5" s="1"/>
  <c r="C29" i="5"/>
  <c r="D29" i="5" s="1"/>
  <c r="C28" i="5"/>
  <c r="D28" i="5" s="1"/>
  <c r="D27" i="5"/>
  <c r="D39" i="5" s="1"/>
  <c r="C27" i="5"/>
  <c r="C25" i="5"/>
  <c r="C24" i="5"/>
  <c r="D24" i="5" s="1"/>
  <c r="C23" i="5"/>
  <c r="D23" i="5" s="1"/>
  <c r="D22" i="5"/>
  <c r="C22" i="5"/>
  <c r="D21" i="5"/>
  <c r="C21" i="5"/>
  <c r="D38" i="5" s="1"/>
  <c r="D20" i="5"/>
  <c r="C20" i="5"/>
  <c r="C19" i="5"/>
  <c r="C15" i="5"/>
  <c r="D13" i="5"/>
  <c r="C13" i="5"/>
  <c r="C12" i="5"/>
  <c r="D10" i="5"/>
  <c r="C10" i="5"/>
  <c r="D8" i="5"/>
  <c r="C8" i="5"/>
  <c r="D6" i="5"/>
  <c r="C6" i="5"/>
  <c r="D5" i="5"/>
  <c r="D4" i="5"/>
  <c r="D48" i="5" s="1"/>
  <c r="C4" i="5"/>
  <c r="C35" i="3"/>
  <c r="B35" i="3"/>
  <c r="C27" i="3"/>
  <c r="C36" i="3" s="1"/>
  <c r="B27" i="3"/>
  <c r="B36" i="3" s="1"/>
  <c r="B7" i="3"/>
  <c r="B9" i="3" s="1"/>
  <c r="B11" i="3" s="1"/>
  <c r="B15" i="3" s="1"/>
  <c r="B17" i="3" s="1"/>
  <c r="D52" i="5" l="1"/>
  <c r="C52" i="5"/>
  <c r="C5" i="5"/>
  <c r="C7" i="5" s="1"/>
  <c r="C9" i="5" s="1"/>
  <c r="D7" i="5"/>
  <c r="D9" i="5" s="1"/>
  <c r="C5" i="8" s="1"/>
  <c r="C26" i="5"/>
  <c r="C32" i="5"/>
  <c r="D53" i="5"/>
  <c r="C9" i="8" s="1"/>
  <c r="C11" i="5"/>
  <c r="C14" i="5" s="1"/>
  <c r="C16" i="5" s="1"/>
  <c r="D47" i="5"/>
  <c r="D11" i="5"/>
  <c r="B27" i="6"/>
  <c r="B24" i="6"/>
  <c r="B23" i="6"/>
  <c r="C4" i="8"/>
  <c r="D37" i="5"/>
  <c r="C12" i="8"/>
  <c r="D19" i="5"/>
  <c r="C6" i="8"/>
  <c r="D36" i="5"/>
  <c r="B26" i="6" l="1"/>
  <c r="C13" i="8"/>
  <c r="B25" i="6"/>
  <c r="D5" i="8"/>
  <c r="E5" i="8" s="1"/>
  <c r="D6" i="8"/>
  <c r="E6" i="8" s="1"/>
  <c r="D14" i="5"/>
  <c r="D54" i="5"/>
  <c r="D55" i="5" s="1"/>
  <c r="C10" i="8" s="1"/>
  <c r="D12" i="8"/>
  <c r="E12" i="8" s="1"/>
  <c r="D9" i="8"/>
  <c r="E9" i="8" s="1"/>
  <c r="D4" i="8"/>
  <c r="E4" i="8" s="1"/>
  <c r="D10" i="8" l="1"/>
  <c r="E10" i="8" s="1"/>
  <c r="D15" i="5"/>
  <c r="D16" i="5" s="1"/>
  <c r="D13" i="8"/>
  <c r="E13" i="8" s="1"/>
  <c r="C7" i="8" l="1"/>
  <c r="D35" i="5"/>
  <c r="D40" i="5" s="1"/>
  <c r="D43" i="5" s="1"/>
  <c r="D31" i="5"/>
  <c r="D32" i="5" s="1"/>
  <c r="D25" i="5" l="1"/>
  <c r="D49" i="5"/>
  <c r="D7" i="8"/>
  <c r="E7" i="8" s="1"/>
  <c r="C8" i="8" l="1"/>
  <c r="D26" i="5"/>
  <c r="D46" i="5" s="1"/>
  <c r="C11" i="8" s="1"/>
  <c r="D11" i="8" l="1"/>
  <c r="E11" i="8"/>
  <c r="D8" i="8"/>
  <c r="E8" i="8" s="1"/>
</calcChain>
</file>

<file path=xl/sharedStrings.xml><?xml version="1.0" encoding="utf-8"?>
<sst xmlns="http://schemas.openxmlformats.org/spreadsheetml/2006/main" count="282" uniqueCount="244">
  <si>
    <t>Kalasu Home Appliances Private Limited: financial model workbook</t>
  </si>
  <si>
    <t>Financial Modelling in the AI Era, Dissent Advisory. Fictional company; every figure is constructed for teaching. ₹ Cr unless a row says otherwise.</t>
  </si>
  <si>
    <t>How to use</t>
  </si>
  <si>
    <t>1</t>
  </si>
  <si>
    <t>Work alongside the course. Each worked example names the sheet it draws on.</t>
  </si>
  <si>
    <t>2</t>
  </si>
  <si>
    <t>Build the FY27 statements on 04_Build yourself, or give this workbook and the specification on 06_Spec to an AI tool, then check its figures on 07_Answer_Check.</t>
  </si>
  <si>
    <t>3</t>
  </si>
  <si>
    <t>Change a driver on 03_Drivers and watch the four checks on 04_Build: each should stay at zero.</t>
  </si>
  <si>
    <t>Colour legend</t>
  </si>
  <si>
    <t>Blue text</t>
  </si>
  <si>
    <t>Typed inputs: audited historicals and plan drivers, each with its source.</t>
  </si>
  <si>
    <t>Black text</t>
  </si>
  <si>
    <t>Formulas.</t>
  </si>
  <si>
    <t>Green text</t>
  </si>
  <si>
    <t>Links to another sheet.</t>
  </si>
  <si>
    <t>Yellow fill</t>
  </si>
  <si>
    <t>Drivers and market inputs the course invites you to change.</t>
  </si>
  <si>
    <t>Sheets</t>
  </si>
  <si>
    <t>01_Case</t>
  </si>
  <si>
    <t>Company facts and the decision</t>
  </si>
  <si>
    <t>02_Historicals</t>
  </si>
  <si>
    <t>Audited FY26 income statement and cash flow, balance sheets at 31 March 2025 and 2026</t>
  </si>
  <si>
    <t>03_Drivers</t>
  </si>
  <si>
    <t>FY27 drivers from the approved plan, with sources, and a board base case to FY31</t>
  </si>
  <si>
    <t>04_Build</t>
  </si>
  <si>
    <t>The FY27 integrated statements and four live checks</t>
  </si>
  <si>
    <t>05_Valuation</t>
  </si>
  <si>
    <t>Rupee cost of capital and the terminal value equation</t>
  </si>
  <si>
    <t>06_Spec</t>
  </si>
  <si>
    <t>The one-page specification for an AI tool</t>
  </si>
  <si>
    <t>07_Answer_Check</t>
  </si>
  <si>
    <t>Your FY27 figures against the course</t>
  </si>
  <si>
    <t>Case facts and the decision</t>
  </si>
  <si>
    <t>Kalasu Home Appliances Private Limited, Bengaluru. Audited FY26; the FY27 plan approved on 25 March 2026.</t>
  </si>
  <si>
    <t>Fact</t>
  </si>
  <si>
    <t>Value</t>
  </si>
  <si>
    <t>Product</t>
  </si>
  <si>
    <t>Small kitchen appliances, GST at 18%</t>
  </si>
  <si>
    <t>GMV the founders quote, FY26</t>
  </si>
  <si>
    <t>₹49.12 Cr</t>
  </si>
  <si>
    <t>Net revenue, FY26</t>
  </si>
  <si>
    <t>₹30.00 Cr: website 40%, marketplaces 45%, quick commerce 15%</t>
  </si>
  <si>
    <t>Contribution after marketing (CM3)</t>
  </si>
  <si>
    <t>₹3.39 Cr (11.3%)</t>
  </si>
  <si>
    <t>EBITDA, FY26</t>
  </si>
  <si>
    <t>Loss of ₹4.53 Cr</t>
  </si>
  <si>
    <t>Series A, April 2025</t>
  </si>
  <si>
    <t>₹40.00 Cr from a domestic Category II AIF</t>
  </si>
  <si>
    <t>Cash and investments, 31 March 2026</t>
  </si>
  <si>
    <t>₹32.59 Cr</t>
  </si>
  <si>
    <t>Framework and tax</t>
  </si>
  <si>
    <t>Accounting Standards; Section 115BAA, now Section 200, 25.168%</t>
  </si>
  <si>
    <t>Headcount</t>
  </si>
  <si>
    <t>50, all in Bengaluru</t>
  </si>
  <si>
    <t>The decision and the readings the model takes</t>
  </si>
  <si>
    <t>Decision</t>
  </si>
  <si>
    <t>The board decides by 30 September 2026 how much the Series B has to raise, when the process must start, and the pre-money value it will defend.</t>
  </si>
  <si>
    <t>Framework</t>
  </si>
  <si>
    <t>Accounting Standards: unlisted, net worth below ₹250 Cr. Office rent stays in operating expenses under AS 19.</t>
  </si>
  <si>
    <t>Tax</t>
  </si>
  <si>
    <t>Section 115BAA (Section 200 of the 2025 Act), 25.168%, no minimum alternate tax. Losses carried forward; no tax while they last.</t>
  </si>
  <si>
    <t>Cash</t>
  </si>
  <si>
    <t>No borrowings. Interest on each month's opening cash above a ₹2.59 Cr operating balance at 6%.</t>
  </si>
  <si>
    <t>Payables</t>
  </si>
  <si>
    <t>The small enterprise manufacturer, 72% of purchases, at 45 days under a written agreement; the medium enterprise at 60 days.</t>
  </si>
  <si>
    <t>Audited FY26 statements, and the balance sheet at 31 March 2025</t>
  </si>
  <si>
    <t>Typed from the audited accounts. Every forecast figure starts here.</t>
  </si>
  <si>
    <t>Income statement, FY26</t>
  </si>
  <si>
    <t>₹ Cr</t>
  </si>
  <si>
    <t>Revenue under AS 9</t>
  </si>
  <si>
    <t>Landed cost and write-offs</t>
  </si>
  <si>
    <t>Fulfilment and platform costs</t>
  </si>
  <si>
    <t>CM2</t>
  </si>
  <si>
    <t>Performance marketing</t>
  </si>
  <si>
    <t>CM3</t>
  </si>
  <si>
    <t>Fixed costs</t>
  </si>
  <si>
    <t>EBITDA</t>
  </si>
  <si>
    <t>Depreciation</t>
  </si>
  <si>
    <t>Finance cost</t>
  </si>
  <si>
    <t>Interest on cash and deposits</t>
  </si>
  <si>
    <t>Profit before tax</t>
  </si>
  <si>
    <t>Profit after tax</t>
  </si>
  <si>
    <t>Balance sheet, 31 March</t>
  </si>
  <si>
    <t>2025</t>
  </si>
  <si>
    <t>2026</t>
  </si>
  <si>
    <t>Fixed assets</t>
  </si>
  <si>
    <t>Security deposits</t>
  </si>
  <si>
    <t>Inventory</t>
  </si>
  <si>
    <t>Trade receivables</t>
  </si>
  <si>
    <t>Balances with government</t>
  </si>
  <si>
    <t>Advances and prepaid</t>
  </si>
  <si>
    <t>Cash and investments</t>
  </si>
  <si>
    <t>Total assets</t>
  </si>
  <si>
    <t>Provisions</t>
  </si>
  <si>
    <t>Trade payables, micro and small enterprises</t>
  </si>
  <si>
    <t>Trade payables, others</t>
  </si>
  <si>
    <t>Other current liabilities</t>
  </si>
  <si>
    <t>Share capital</t>
  </si>
  <si>
    <t>Securities premium</t>
  </si>
  <si>
    <t>Retained earnings</t>
  </si>
  <si>
    <t>Total liabilities and equity</t>
  </si>
  <si>
    <t>Check: assets less liabilities and equity</t>
  </si>
  <si>
    <t>FY27 drivers from the approved plan, and a board base case to FY31</t>
  </si>
  <si>
    <t>Inputs in blue; yellow cells are the drivers the course changes. Sources in column D.</t>
  </si>
  <si>
    <t>Channel, FY27</t>
  </si>
  <si>
    <t>Kept orders</t>
  </si>
  <si>
    <t>Revenue per order, ₹</t>
  </si>
  <si>
    <t>CM2 per order, ₹</t>
  </si>
  <si>
    <t>Website</t>
  </si>
  <si>
    <t>Marketplaces</t>
  </si>
  <si>
    <t>Quick commerce</t>
  </si>
  <si>
    <t>Paid new website customers</t>
  </si>
  <si>
    <t>Approved plan: 75% of 60,000</t>
  </si>
  <si>
    <t>Paid CAC, ₹</t>
  </si>
  <si>
    <t>Approved plan</t>
  </si>
  <si>
    <t>Retention spend, ₹ Cr</t>
  </si>
  <si>
    <t>Marketplace advertising, share of marketplace revenue</t>
  </si>
  <si>
    <t>Quick commerce visibility, share of its revenue</t>
  </si>
  <si>
    <t>Opening people cost, ₹ Cr a month</t>
  </si>
  <si>
    <t>Payroll at 31 March 2026</t>
  </si>
  <si>
    <t>Hires, joining evenly through the year</t>
  </si>
  <si>
    <t>Loaded cost per hire, ₹ Cr a year</t>
  </si>
  <si>
    <t>Brand marketing, ₹ Cr</t>
  </si>
  <si>
    <t>Other fixed costs, ₹ Cr a month</t>
  </si>
  <si>
    <t>Capex: moulds, tooling and laptops</t>
  </si>
  <si>
    <t>Approved plan, May and October</t>
  </si>
  <si>
    <t>Useful life of fixed assets, years</t>
  </si>
  <si>
    <t>Accounting policy, Schedule II with technical justification</t>
  </si>
  <si>
    <t>Interest on cash and deposits, FY27</t>
  </si>
  <si>
    <t>Monthly plan: opening cash above the operating balance at 6%</t>
  </si>
  <si>
    <t>Stock at 31 March 2027</t>
  </si>
  <si>
    <t>Monthly plan: 100 days of forward cover</t>
  </si>
  <si>
    <t>Receivables at 31 March 2027</t>
  </si>
  <si>
    <t>Monthly plan: settlement days by channel</t>
  </si>
  <si>
    <t>Payables to the two manufacturers at 31 March 2027</t>
  </si>
  <si>
    <t>Monthly plan: 45 and 60 days</t>
  </si>
  <si>
    <t>Packaging and logistics payables, held</t>
  </si>
  <si>
    <t>Accounts 2403 and 2405 at 31 March 2026</t>
  </si>
  <si>
    <t>Tax rate, Section 115BAA</t>
  </si>
  <si>
    <t>Section 200, Income-tax Act, 2025</t>
  </si>
  <si>
    <t>Board base case, FY28 to FY31 (the plan continued; replace with your own drivers)</t>
  </si>
  <si>
    <t>Volume growth a year</t>
  </si>
  <si>
    <t>25%</t>
  </si>
  <si>
    <t>Per-order revenue and contribution</t>
  </si>
  <si>
    <t>FY26 levels</t>
  </si>
  <si>
    <t>Held at the March 2027 run-rate</t>
  </si>
  <si>
    <t>Capex a year</t>
  </si>
  <si>
    <t>₹0.80 Cr</t>
  </si>
  <si>
    <t>Working capital</t>
  </si>
  <si>
    <t>The FY27 days of flow, scaled with volume</t>
  </si>
  <si>
    <t>The FY27 integrated statements, with four live checks</t>
  </si>
  <si>
    <t>FY26 links to 02_Historicals; FY27 is formulas on 03_Drivers. Each check returns zero when the model is right.</t>
  </si>
  <si>
    <t>Income statement, ₹ Cr</t>
  </si>
  <si>
    <t>FY26 A</t>
  </si>
  <si>
    <t>FY27 F</t>
  </si>
  <si>
    <t>Revenue</t>
  </si>
  <si>
    <t>EBIT</t>
  </si>
  <si>
    <t>Tax: none on a loss</t>
  </si>
  <si>
    <t>Balance sheet, ₹ Cr</t>
  </si>
  <si>
    <t>31 March 2026</t>
  </si>
  <si>
    <t>31 March 2027</t>
  </si>
  <si>
    <t>Receivables</t>
  </si>
  <si>
    <t>Trade payables</t>
  </si>
  <si>
    <t>Share capital and securities premium</t>
  </si>
  <si>
    <t>Cash flow statement, FY27, ₹ Cr</t>
  </si>
  <si>
    <t>Depreciation added back</t>
  </si>
  <si>
    <t>(Increase) in receivables</t>
  </si>
  <si>
    <t>(Increase) in inventory</t>
  </si>
  <si>
    <t>Increase in payables</t>
  </si>
  <si>
    <t>Operating cash flow</t>
  </si>
  <si>
    <t>Capex</t>
  </si>
  <si>
    <t>Financing</t>
  </si>
  <si>
    <t>Net change in cash</t>
  </si>
  <si>
    <t>Checks, each returns zero</t>
  </si>
  <si>
    <t>FY27</t>
  </si>
  <si>
    <t>Balance: assets less liabilities and equity</t>
  </si>
  <si>
    <t>Source tie-out: FY26 lines against 02_Historicals</t>
  </si>
  <si>
    <t>Driver tie-out: revenue against orders × revenue per order</t>
  </si>
  <si>
    <t>Roll-forward: fixed assets and cash</t>
  </si>
  <si>
    <t>For valuation</t>
  </si>
  <si>
    <t>Net working capital</t>
  </si>
  <si>
    <t>Increase in net working capital</t>
  </si>
  <si>
    <t>NOPAT: EBIT less tax at the operating rate, none on a loss</t>
  </si>
  <si>
    <t>Free cash flow to the firm</t>
  </si>
  <si>
    <t>Market inputs are illustrative: replace them with current data and date them. Kalasu has no borrowings.</t>
  </si>
  <si>
    <t>10-year G-Sec yield</t>
  </si>
  <si>
    <t>Sovereign default spread</t>
  </si>
  <si>
    <t>Risk-free rate net of the spread (1) or gross (0)</t>
  </si>
  <si>
    <t>Mature-market equity premium</t>
  </si>
  <si>
    <t>Country equity premium</t>
  </si>
  <si>
    <t>Levered beta</t>
  </si>
  <si>
    <t>Pre-tax cost of debt, if Kalasu borrows</t>
  </si>
  <si>
    <t>Target debt weight</t>
  </si>
  <si>
    <t>FY32 NOPAT, the steady state assumed, ₹ Cr</t>
  </si>
  <si>
    <t>Terminal growth</t>
  </si>
  <si>
    <t>Return on new invested capital</t>
  </si>
  <si>
    <t>Tax rate</t>
  </si>
  <si>
    <t>Risk-free rate</t>
  </si>
  <si>
    <t>Cost of equity</t>
  </si>
  <si>
    <t>After-tax cost of debt</t>
  </si>
  <si>
    <t>WACC</t>
  </si>
  <si>
    <t>Reinvestment rate, g ÷ RONIC</t>
  </si>
  <si>
    <t>FY32 free cash flow</t>
  </si>
  <si>
    <t>Terminal value at end-FY31</t>
  </si>
  <si>
    <t>Value with zero growth, NOPAT ÷ WACC</t>
  </si>
  <si>
    <t>Value added by growth</t>
  </si>
  <si>
    <t>Overstatement if reinvestment is ignored</t>
  </si>
  <si>
    <t>Mid-year convention adds</t>
  </si>
  <si>
    <t>From Chapter V. Paste it into the tool with this workbook attached.</t>
  </si>
  <si>
    <t>Board decides by 30 September 2026 how much the Series B must raise, when it starts and the pre-money it will defend. Outputs: funding need, valuation range, top three drivers.</t>
  </si>
  <si>
    <t>Timeline</t>
  </si>
  <si>
    <t>FY26 actuals with the balance sheet at 31 March 2025, FY27 to FY31 forecast; FY27 monthly, annual after; March year-end.</t>
  </si>
  <si>
    <t>Units and signs</t>
  </si>
  <si>
    <t>₹ Cr to two decimals. Outflows negative in the cash flow statement.</t>
  </si>
  <si>
    <t>Accounting Standards, not Ind AS. Tax under Section 115BAA (Section 200 of the 2025 Act) at 25.168%, with the loss pool carried forward.</t>
  </si>
  <si>
    <t>Drivers</t>
  </si>
  <si>
    <t>Kept orders and realisation by channel, net revenue under AS 9, never GMV. Paid customers and CAC with its response to spend. Hires by month. Days of flow, with small enterprise payables on a separate line. Capex split into maintenance and growth.</t>
  </si>
  <si>
    <t>Cash and equity</t>
  </si>
  <si>
    <t>No borrowings. Interest on opening cash above a ₹2.59 Cr operating balance at 6%. Share capital, securities premium and fully diluted shares.</t>
  </si>
  <si>
    <t>Sources</t>
  </si>
  <si>
    <t>02_Historicals and 03_Drivers only. Cite the sheet and cell for every figure.</t>
  </si>
  <si>
    <t>Prohibited</t>
  </si>
  <si>
    <t>No plugs. No typed numbers in forecast columns. No figure that is not in the source sheets. Flag every assumption made.</t>
  </si>
  <si>
    <t>Checks</t>
  </si>
  <si>
    <t>Balance, source tie-out, driver tie-out, roll-forward, formula integrity scan.</t>
  </si>
  <si>
    <t>Answer check</t>
  </si>
  <si>
    <t>Course figures against this workbook's formulas. A status of Agrees means the difference is within the tolerance.</t>
  </si>
  <si>
    <t>Figure</t>
  </si>
  <si>
    <t>Course figure</t>
  </si>
  <si>
    <t>This workbook</t>
  </si>
  <si>
    <t>Difference</t>
  </si>
  <si>
    <t>Status</t>
  </si>
  <si>
    <t>Tolerance</t>
  </si>
  <si>
    <t>FY27 revenue</t>
  </si>
  <si>
    <t>FY27 EBITDA</t>
  </si>
  <si>
    <t>FY27 depreciation</t>
  </si>
  <si>
    <t>FY27 profit after tax</t>
  </si>
  <si>
    <t>Cash and investments, 31 March 2027</t>
  </si>
  <si>
    <t>Increase in net working capital, FY27</t>
  </si>
  <si>
    <t>FY27 free cash flow to the firm</t>
  </si>
  <si>
    <t>Balance check, 31 March 2027</t>
  </si>
  <si>
    <t>Cost of equity at the defaults</t>
  </si>
  <si>
    <t>Terminal value at the defaults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</si>
</sst>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0\);&quot;-&quot;"/>
    <numFmt numFmtId="165" formatCode="#,##0;\(#,##0\);&quot;-&quot;"/>
    <numFmt numFmtId="166" formatCode="0.0%;\(0.0%\);&quot;-&quot;"/>
    <numFmt numFmtId="167" formatCode="0.000%"/>
    <numFmt numFmtId="168" formatCode="0.00;\(0.00\);0.00"/>
    <numFmt numFmtId="169" formatCode="0.0%"/>
    <numFmt numFmtId="170" formatCode="0.0000"/>
  </numFmts>
  <fonts count="7" x14ac:knownFonts="1">
    <font>
      <sz val="11"/>
      <color theme="1"/>
      <name val="Calibri"/>
      <family val="2"/>
      <scheme val="minor"/>
    </font>
    <font>
      <b/>
      <sz val="14"/>
      <color rgb="FFF3F4F5"/>
      <name val="Arial"/>
    </font>
    <font>
      <sz val="9"/>
      <color rgb="FF41627D"/>
      <name val="Arial"/>
    </font>
    <font>
      <b/>
      <sz val="10"/>
      <color rgb="FF000000"/>
      <name val="Arial"/>
    </font>
    <font>
      <sz val="10"/>
      <color rgb="FF000000"/>
      <name val="Arial"/>
    </font>
    <font>
      <sz val="10"/>
      <color rgb="FF0000FF"/>
      <name val="Arial"/>
    </font>
    <font>
      <sz val="10"/>
      <color rgb="FF008000"/>
      <name val="Arial"/>
    </font>
  </fonts>
  <fills count="5">
    <fill>
      <patternFill patternType="none"/>
    </fill>
    <fill>
      <patternFill patternType="gray125"/>
    </fill>
    <fill>
      <patternFill patternType="solid">
        <fgColor rgb="FF0C0C0F"/>
      </patternFill>
    </fill>
    <fill>
      <patternFill patternType="solid">
        <fgColor rgb="FFFFFF00"/>
      </patternFill>
    </fill>
    <fill>
      <patternFill patternType="solid">
        <fgColor rgb="FFEAEBEE"/>
      </patternFill>
    </fill>
  </fills>
  <borders count="1">
    <border>
      <left/>
      <right/>
      <top/>
      <bottom/>
      <diagonal/>
    </border>
  </borders>
  <cellStyleXfs count="1">
    <xf numFmtId="0" fontId="0" fillId="0" borderId="0"/>
  </cellStyleXfs>
  <cellXfs count="35">
    <xf numFmtId="0" fontId="0" fillId="0" borderId="0" xfId="0"/>
    <xf numFmtId="0" fontId="1" fillId="2" borderId="0" xfId="0" applyFont="1" applyFill="1"/>
    <xf numFmtId="0" fontId="0" fillId="2" borderId="0" xfId="0" applyFill="1"/>
    <xf numFmtId="0" fontId="2" fillId="0" borderId="0" xfId="0" applyFont="1"/>
    <xf numFmtId="0" fontId="3" fillId="0" borderId="0" xfId="0" applyFont="1"/>
    <xf numFmtId="0" fontId="4" fillId="0" borderId="0" xfId="0" applyFont="1" applyAlignment="1">
      <alignment vertical="top" wrapText="1"/>
    </xf>
    <xf numFmtId="0" fontId="5" fillId="0" borderId="0" xfId="0" applyFont="1" applyAlignment="1">
      <alignment vertical="top" wrapText="1"/>
    </xf>
    <xf numFmtId="0" fontId="6" fillId="0" borderId="0" xfId="0" applyFont="1" applyAlignment="1">
      <alignment vertical="top" wrapText="1"/>
    </xf>
    <xf numFmtId="0" fontId="4" fillId="3" borderId="0" xfId="0" applyFont="1" applyFill="1" applyAlignment="1">
      <alignment vertical="top" wrapText="1"/>
    </xf>
    <xf numFmtId="0" fontId="3" fillId="4" borderId="0" xfId="0" applyFont="1" applyFill="1" applyAlignment="1">
      <alignment horizontal="left" vertical="center" wrapText="1"/>
    </xf>
    <xf numFmtId="0" fontId="3" fillId="4" borderId="0" xfId="0" applyFont="1" applyFill="1" applyAlignment="1">
      <alignment horizontal="right" vertical="center" wrapText="1"/>
    </xf>
    <xf numFmtId="0" fontId="3" fillId="0" borderId="0" xfId="0" applyFont="1" applyAlignment="1">
      <alignment vertical="top" wrapText="1"/>
    </xf>
    <xf numFmtId="164" fontId="5" fillId="0" borderId="0" xfId="0" applyNumberFormat="1" applyFont="1" applyAlignment="1">
      <alignment horizontal="right"/>
    </xf>
    <xf numFmtId="164" fontId="4" fillId="0" borderId="0" xfId="0" applyNumberFormat="1" applyFont="1" applyAlignment="1">
      <alignment horizontal="right"/>
    </xf>
    <xf numFmtId="164" fontId="3" fillId="0" borderId="0" xfId="0" applyNumberFormat="1" applyFont="1" applyAlignment="1">
      <alignment horizontal="right"/>
    </xf>
    <xf numFmtId="165" fontId="5" fillId="3" borderId="0" xfId="0" applyNumberFormat="1" applyFont="1" applyFill="1" applyAlignment="1">
      <alignment horizontal="right"/>
    </xf>
    <xf numFmtId="4" fontId="5" fillId="0" borderId="0" xfId="0" applyNumberFormat="1" applyFont="1" applyAlignment="1">
      <alignment horizontal="right"/>
    </xf>
    <xf numFmtId="166" fontId="5" fillId="0" borderId="0" xfId="0" applyNumberFormat="1" applyFont="1" applyAlignment="1">
      <alignment horizontal="right"/>
    </xf>
    <xf numFmtId="164" fontId="5" fillId="3" borderId="0" xfId="0" applyNumberFormat="1" applyFont="1" applyFill="1" applyAlignment="1">
      <alignment horizontal="right"/>
    </xf>
    <xf numFmtId="165" fontId="5" fillId="0" borderId="0" xfId="0" applyNumberFormat="1" applyFont="1" applyAlignment="1">
      <alignment horizontal="right"/>
    </xf>
    <xf numFmtId="167" fontId="5" fillId="0" borderId="0" xfId="0" applyNumberFormat="1" applyFont="1" applyAlignment="1">
      <alignment horizontal="right"/>
    </xf>
    <xf numFmtId="164" fontId="6" fillId="0" borderId="0" xfId="0" applyNumberFormat="1" applyFont="1" applyAlignment="1">
      <alignment horizontal="right"/>
    </xf>
    <xf numFmtId="168" fontId="4" fillId="0" borderId="0" xfId="0" applyNumberFormat="1" applyFont="1" applyAlignment="1">
      <alignment horizontal="right"/>
    </xf>
    <xf numFmtId="166" fontId="5" fillId="3" borderId="0" xfId="0" applyNumberFormat="1" applyFont="1" applyFill="1" applyAlignment="1">
      <alignment horizontal="right"/>
    </xf>
    <xf numFmtId="2" fontId="5" fillId="3" borderId="0" xfId="0" applyNumberFormat="1" applyFont="1" applyFill="1" applyAlignment="1">
      <alignment horizontal="right"/>
    </xf>
    <xf numFmtId="167" fontId="5" fillId="3" borderId="0" xfId="0" applyNumberFormat="1" applyFont="1" applyFill="1" applyAlignment="1">
      <alignment horizontal="right"/>
    </xf>
    <xf numFmtId="10" fontId="4" fillId="0" borderId="0" xfId="0" applyNumberFormat="1" applyFont="1" applyAlignment="1">
      <alignment horizontal="right"/>
    </xf>
    <xf numFmtId="10" fontId="3" fillId="0" borderId="0" xfId="0" applyNumberFormat="1" applyFont="1" applyAlignment="1">
      <alignment horizontal="right"/>
    </xf>
    <xf numFmtId="169" fontId="4" fillId="0" borderId="0" xfId="0" applyNumberFormat="1" applyFont="1" applyAlignment="1">
      <alignment horizontal="right"/>
    </xf>
    <xf numFmtId="0" fontId="3" fillId="0" borderId="0" xfId="0" applyFont="1" applyAlignment="1">
      <alignment horizontal="left"/>
    </xf>
    <xf numFmtId="170" fontId="5" fillId="0" borderId="0" xfId="0" applyNumberFormat="1" applyFont="1" applyAlignment="1">
      <alignment horizontal="right"/>
    </xf>
    <xf numFmtId="170" fontId="6" fillId="0" borderId="0" xfId="0" applyNumberFormat="1" applyFont="1" applyAlignment="1">
      <alignment horizontal="right"/>
    </xf>
    <xf numFmtId="170" fontId="4" fillId="0" borderId="0" xfId="0" applyNumberFormat="1" applyFont="1" applyAlignment="1">
      <alignment horizontal="right"/>
    </xf>
    <xf numFmtId="10" fontId="5" fillId="0" borderId="0" xfId="0" applyNumberFormat="1" applyFont="1" applyAlignment="1">
      <alignment horizontal="right"/>
    </xf>
    <xf numFmtId="10" fontId="6" fillId="0" borderId="0" xfId="0" applyNumberFormat="1" applyFont="1" applyAlignment="1">
      <alignment horizontal="righ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2"/>
  <sheetViews>
    <sheetView tabSelected="1" workbookViewId="0"/>
  </sheetViews>
  <sheetFormatPr defaultRowHeight="14.5" x14ac:dyDescent="0.35"/>
  <cols>
    <col min="1" max="1" width="18" customWidth="1"/>
    <col min="2" max="2" width="110" customWidth="1"/>
  </cols>
  <sheetData>
    <row r="1" spans="1:2" ht="24" customHeight="1" x14ac:dyDescent="0.4">
      <c r="A1" s="1" t="s">
        <v>0</v>
      </c>
      <c r="B1" s="2"/>
    </row>
    <row r="2" spans="1:2" x14ac:dyDescent="0.35">
      <c r="A2" s="3" t="s">
        <v>1</v>
      </c>
    </row>
    <row r="4" spans="1:2" x14ac:dyDescent="0.35">
      <c r="A4" s="4" t="s">
        <v>2</v>
      </c>
    </row>
    <row r="5" spans="1:2" x14ac:dyDescent="0.35">
      <c r="A5" s="5" t="s">
        <v>3</v>
      </c>
      <c r="B5" s="5" t="s">
        <v>4</v>
      </c>
    </row>
    <row r="6" spans="1:2" ht="25" x14ac:dyDescent="0.35">
      <c r="A6" s="5" t="s">
        <v>5</v>
      </c>
      <c r="B6" s="5" t="s">
        <v>6</v>
      </c>
    </row>
    <row r="7" spans="1:2" x14ac:dyDescent="0.35">
      <c r="A7" s="5" t="s">
        <v>7</v>
      </c>
      <c r="B7" s="5" t="s">
        <v>8</v>
      </c>
    </row>
    <row r="9" spans="1:2" x14ac:dyDescent="0.35">
      <c r="A9" s="4" t="s">
        <v>9</v>
      </c>
    </row>
    <row r="10" spans="1:2" x14ac:dyDescent="0.35">
      <c r="A10" s="6" t="s">
        <v>10</v>
      </c>
      <c r="B10" s="5" t="s">
        <v>11</v>
      </c>
    </row>
    <row r="11" spans="1:2" x14ac:dyDescent="0.35">
      <c r="A11" s="5" t="s">
        <v>12</v>
      </c>
      <c r="B11" s="5" t="s">
        <v>13</v>
      </c>
    </row>
    <row r="12" spans="1:2" x14ac:dyDescent="0.35">
      <c r="A12" s="7" t="s">
        <v>14</v>
      </c>
      <c r="B12" s="5" t="s">
        <v>15</v>
      </c>
    </row>
    <row r="13" spans="1:2" x14ac:dyDescent="0.35">
      <c r="A13" s="8" t="s">
        <v>16</v>
      </c>
      <c r="B13" s="5" t="s">
        <v>17</v>
      </c>
    </row>
    <row r="15" spans="1:2" x14ac:dyDescent="0.35">
      <c r="A15" s="4" t="s">
        <v>18</v>
      </c>
    </row>
    <row r="16" spans="1:2" x14ac:dyDescent="0.35">
      <c r="A16" s="5" t="s">
        <v>19</v>
      </c>
      <c r="B16" s="5" t="s">
        <v>20</v>
      </c>
    </row>
    <row r="17" spans="1:2" x14ac:dyDescent="0.35">
      <c r="A17" s="5" t="s">
        <v>21</v>
      </c>
      <c r="B17" s="5" t="s">
        <v>22</v>
      </c>
    </row>
    <row r="18" spans="1:2" x14ac:dyDescent="0.35">
      <c r="A18" s="5" t="s">
        <v>23</v>
      </c>
      <c r="B18" s="5" t="s">
        <v>24</v>
      </c>
    </row>
    <row r="19" spans="1:2" x14ac:dyDescent="0.35">
      <c r="A19" s="5" t="s">
        <v>25</v>
      </c>
      <c r="B19" s="5" t="s">
        <v>26</v>
      </c>
    </row>
    <row r="20" spans="1:2" x14ac:dyDescent="0.35">
      <c r="A20" s="5" t="s">
        <v>27</v>
      </c>
      <c r="B20" s="5" t="s">
        <v>28</v>
      </c>
    </row>
    <row r="21" spans="1:2" x14ac:dyDescent="0.35">
      <c r="A21" s="5" t="s">
        <v>29</v>
      </c>
      <c r="B21" s="5" t="s">
        <v>30</v>
      </c>
    </row>
    <row r="22" spans="1:2" x14ac:dyDescent="0.35">
      <c r="A22" s="5" t="s">
        <v>31</v>
      </c>
      <c r="B22" s="5" t="s">
        <v>32</v>
      </c>
    </row>
  </sheetData>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9"/>
  <sheetViews>
    <sheetView workbookViewId="0"/>
  </sheetViews>
  <sheetFormatPr defaultRowHeight="14.5" x14ac:dyDescent="0.35"/>
  <cols>
    <col min="1" max="1" width="34" customWidth="1"/>
    <col min="2" max="2" width="110" customWidth="1"/>
  </cols>
  <sheetData>
    <row r="1" spans="1:2" ht="24" customHeight="1" x14ac:dyDescent="0.4">
      <c r="A1" s="1" t="s">
        <v>33</v>
      </c>
      <c r="B1" s="2"/>
    </row>
    <row r="2" spans="1:2" x14ac:dyDescent="0.35">
      <c r="A2" s="3" t="s">
        <v>34</v>
      </c>
    </row>
    <row r="3" spans="1:2" x14ac:dyDescent="0.35">
      <c r="A3" s="9" t="s">
        <v>35</v>
      </c>
      <c r="B3" s="10" t="s">
        <v>36</v>
      </c>
    </row>
    <row r="4" spans="1:2" x14ac:dyDescent="0.35">
      <c r="A4" s="5" t="s">
        <v>37</v>
      </c>
      <c r="B4" s="5" t="s">
        <v>38</v>
      </c>
    </row>
    <row r="5" spans="1:2" x14ac:dyDescent="0.35">
      <c r="A5" s="5" t="s">
        <v>39</v>
      </c>
      <c r="B5" s="5" t="s">
        <v>40</v>
      </c>
    </row>
    <row r="6" spans="1:2" x14ac:dyDescent="0.35">
      <c r="A6" s="5" t="s">
        <v>41</v>
      </c>
      <c r="B6" s="5" t="s">
        <v>42</v>
      </c>
    </row>
    <row r="7" spans="1:2" x14ac:dyDescent="0.35">
      <c r="A7" s="5" t="s">
        <v>43</v>
      </c>
      <c r="B7" s="5" t="s">
        <v>44</v>
      </c>
    </row>
    <row r="8" spans="1:2" x14ac:dyDescent="0.35">
      <c r="A8" s="5" t="s">
        <v>45</v>
      </c>
      <c r="B8" s="5" t="s">
        <v>46</v>
      </c>
    </row>
    <row r="9" spans="1:2" x14ac:dyDescent="0.35">
      <c r="A9" s="5" t="s">
        <v>47</v>
      </c>
      <c r="B9" s="5" t="s">
        <v>48</v>
      </c>
    </row>
    <row r="10" spans="1:2" x14ac:dyDescent="0.35">
      <c r="A10" s="5" t="s">
        <v>49</v>
      </c>
      <c r="B10" s="5" t="s">
        <v>50</v>
      </c>
    </row>
    <row r="11" spans="1:2" x14ac:dyDescent="0.35">
      <c r="A11" s="5" t="s">
        <v>51</v>
      </c>
      <c r="B11" s="5" t="s">
        <v>52</v>
      </c>
    </row>
    <row r="12" spans="1:2" x14ac:dyDescent="0.35">
      <c r="A12" s="5" t="s">
        <v>53</v>
      </c>
      <c r="B12" s="5" t="s">
        <v>54</v>
      </c>
    </row>
    <row r="14" spans="1:2" x14ac:dyDescent="0.35">
      <c r="A14" s="4" t="s">
        <v>55</v>
      </c>
    </row>
    <row r="15" spans="1:2" ht="25" x14ac:dyDescent="0.35">
      <c r="A15" s="11" t="s">
        <v>56</v>
      </c>
      <c r="B15" s="5" t="s">
        <v>57</v>
      </c>
    </row>
    <row r="16" spans="1:2" x14ac:dyDescent="0.35">
      <c r="A16" s="11" t="s">
        <v>58</v>
      </c>
      <c r="B16" s="5" t="s">
        <v>59</v>
      </c>
    </row>
    <row r="17" spans="1:2" x14ac:dyDescent="0.35">
      <c r="A17" s="11" t="s">
        <v>60</v>
      </c>
      <c r="B17" s="5" t="s">
        <v>61</v>
      </c>
    </row>
    <row r="18" spans="1:2" x14ac:dyDescent="0.35">
      <c r="A18" s="11" t="s">
        <v>62</v>
      </c>
      <c r="B18" s="5" t="s">
        <v>63</v>
      </c>
    </row>
    <row r="19" spans="1:2" x14ac:dyDescent="0.35">
      <c r="A19" s="11" t="s">
        <v>64</v>
      </c>
      <c r="B19" s="5" t="s">
        <v>65</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36"/>
  <sheetViews>
    <sheetView workbookViewId="0"/>
  </sheetViews>
  <sheetFormatPr defaultRowHeight="14.5" x14ac:dyDescent="0.35"/>
  <cols>
    <col min="1" max="1" width="46" customWidth="1"/>
    <col min="2" max="3" width="14" customWidth="1"/>
  </cols>
  <sheetData>
    <row r="1" spans="1:4" ht="24" customHeight="1" x14ac:dyDescent="0.4">
      <c r="A1" s="1" t="s">
        <v>66</v>
      </c>
      <c r="B1" s="2"/>
      <c r="C1" s="2"/>
      <c r="D1" s="2"/>
    </row>
    <row r="2" spans="1:4" x14ac:dyDescent="0.35">
      <c r="A2" s="3" t="s">
        <v>67</v>
      </c>
    </row>
    <row r="3" spans="1:4" x14ac:dyDescent="0.35">
      <c r="A3" s="9" t="s">
        <v>68</v>
      </c>
      <c r="B3" s="10" t="s">
        <v>69</v>
      </c>
    </row>
    <row r="4" spans="1:4" x14ac:dyDescent="0.35">
      <c r="A4" s="5" t="s">
        <v>70</v>
      </c>
      <c r="B4" s="12">
        <v>30</v>
      </c>
    </row>
    <row r="5" spans="1:4" x14ac:dyDescent="0.35">
      <c r="A5" s="5" t="s">
        <v>71</v>
      </c>
      <c r="B5" s="12">
        <v>-13.8</v>
      </c>
    </row>
    <row r="6" spans="1:4" x14ac:dyDescent="0.35">
      <c r="A6" s="5" t="s">
        <v>72</v>
      </c>
      <c r="B6" s="12">
        <v>-6.0328649999999993</v>
      </c>
    </row>
    <row r="7" spans="1:4" x14ac:dyDescent="0.35">
      <c r="A7" s="11" t="s">
        <v>73</v>
      </c>
      <c r="B7" s="13">
        <f>B4+B5+B6</f>
        <v>10.167135</v>
      </c>
    </row>
    <row r="8" spans="1:4" x14ac:dyDescent="0.35">
      <c r="A8" s="5" t="s">
        <v>74</v>
      </c>
      <c r="B8" s="12">
        <v>-6.78</v>
      </c>
    </row>
    <row r="9" spans="1:4" x14ac:dyDescent="0.35">
      <c r="A9" s="11" t="s">
        <v>75</v>
      </c>
      <c r="B9" s="13">
        <f>B7+B8</f>
        <v>3.3871349999999998</v>
      </c>
    </row>
    <row r="10" spans="1:4" x14ac:dyDescent="0.35">
      <c r="A10" s="5" t="s">
        <v>76</v>
      </c>
      <c r="B10" s="12">
        <v>-7.9200000000000008</v>
      </c>
    </row>
    <row r="11" spans="1:4" x14ac:dyDescent="0.35">
      <c r="A11" s="11" t="s">
        <v>77</v>
      </c>
      <c r="B11" s="14">
        <f>B9+B10</f>
        <v>-4.532865000000001</v>
      </c>
    </row>
    <row r="12" spans="1:4" x14ac:dyDescent="0.35">
      <c r="A12" s="5" t="s">
        <v>78</v>
      </c>
      <c r="B12" s="12">
        <v>-0.3</v>
      </c>
    </row>
    <row r="13" spans="1:4" x14ac:dyDescent="0.35">
      <c r="A13" s="5" t="s">
        <v>79</v>
      </c>
      <c r="B13" s="12">
        <v>-0.04</v>
      </c>
    </row>
    <row r="14" spans="1:4" x14ac:dyDescent="0.35">
      <c r="A14" s="5" t="s">
        <v>80</v>
      </c>
      <c r="B14" s="12">
        <v>1.602865</v>
      </c>
    </row>
    <row r="15" spans="1:4" x14ac:dyDescent="0.35">
      <c r="A15" s="11" t="s">
        <v>81</v>
      </c>
      <c r="B15" s="13">
        <f>B11+B12+B13+B14</f>
        <v>-3.2700000000000009</v>
      </c>
    </row>
    <row r="16" spans="1:4" x14ac:dyDescent="0.35">
      <c r="A16" s="5" t="s">
        <v>60</v>
      </c>
      <c r="B16" s="12">
        <v>0</v>
      </c>
    </row>
    <row r="17" spans="1:3" x14ac:dyDescent="0.35">
      <c r="A17" s="11" t="s">
        <v>82</v>
      </c>
      <c r="B17" s="14">
        <f>B15+B16</f>
        <v>-3.2700000000000009</v>
      </c>
    </row>
    <row r="19" spans="1:3" x14ac:dyDescent="0.35">
      <c r="A19" s="9" t="s">
        <v>83</v>
      </c>
      <c r="B19" s="10" t="s">
        <v>84</v>
      </c>
      <c r="C19" s="10" t="s">
        <v>85</v>
      </c>
    </row>
    <row r="20" spans="1:3" x14ac:dyDescent="0.35">
      <c r="A20" s="5" t="s">
        <v>86</v>
      </c>
      <c r="B20" s="12">
        <v>0.8</v>
      </c>
      <c r="C20" s="12">
        <v>1.2</v>
      </c>
    </row>
    <row r="21" spans="1:3" x14ac:dyDescent="0.35">
      <c r="A21" s="5" t="s">
        <v>87</v>
      </c>
      <c r="B21" s="12">
        <v>0.1</v>
      </c>
      <c r="C21" s="12">
        <v>0.15</v>
      </c>
    </row>
    <row r="22" spans="1:3" x14ac:dyDescent="0.35">
      <c r="A22" s="5" t="s">
        <v>88</v>
      </c>
      <c r="B22" s="12">
        <v>2.1</v>
      </c>
      <c r="C22" s="12">
        <v>4.5</v>
      </c>
    </row>
    <row r="23" spans="1:3" x14ac:dyDescent="0.35">
      <c r="A23" s="5" t="s">
        <v>89</v>
      </c>
      <c r="B23" s="12">
        <v>0.7</v>
      </c>
      <c r="C23" s="12">
        <v>1.5</v>
      </c>
    </row>
    <row r="24" spans="1:3" x14ac:dyDescent="0.35">
      <c r="A24" s="5" t="s">
        <v>90</v>
      </c>
      <c r="B24" s="12">
        <v>0.3</v>
      </c>
      <c r="C24" s="12">
        <v>0.85</v>
      </c>
    </row>
    <row r="25" spans="1:3" x14ac:dyDescent="0.35">
      <c r="A25" s="5" t="s">
        <v>91</v>
      </c>
      <c r="B25" s="12">
        <v>0.1</v>
      </c>
      <c r="C25" s="12">
        <v>0.6</v>
      </c>
    </row>
    <row r="26" spans="1:3" x14ac:dyDescent="0.35">
      <c r="A26" s="5" t="s">
        <v>92</v>
      </c>
      <c r="B26" s="12">
        <v>0.29000000000000181</v>
      </c>
      <c r="C26" s="12">
        <v>32.590000000000018</v>
      </c>
    </row>
    <row r="27" spans="1:3" x14ac:dyDescent="0.35">
      <c r="A27" s="11" t="s">
        <v>93</v>
      </c>
      <c r="B27" s="14">
        <f>SUM(B20:B26)</f>
        <v>4.3900000000000015</v>
      </c>
      <c r="C27" s="14">
        <f>SUM(C20:C26)</f>
        <v>41.390000000000015</v>
      </c>
    </row>
    <row r="28" spans="1:3" x14ac:dyDescent="0.35">
      <c r="A28" s="5" t="s">
        <v>94</v>
      </c>
      <c r="B28" s="12">
        <v>0.33</v>
      </c>
      <c r="C28" s="12">
        <v>0.5</v>
      </c>
    </row>
    <row r="29" spans="1:3" x14ac:dyDescent="0.35">
      <c r="A29" s="5" t="s">
        <v>95</v>
      </c>
      <c r="B29" s="12">
        <v>1.7</v>
      </c>
      <c r="C29" s="12">
        <v>1.6</v>
      </c>
    </row>
    <row r="30" spans="1:3" x14ac:dyDescent="0.35">
      <c r="A30" s="5" t="s">
        <v>96</v>
      </c>
      <c r="B30" s="12">
        <v>0.9</v>
      </c>
      <c r="C30" s="12">
        <v>1.4</v>
      </c>
    </row>
    <row r="31" spans="1:3" x14ac:dyDescent="0.35">
      <c r="A31" s="5" t="s">
        <v>97</v>
      </c>
      <c r="B31" s="12">
        <v>0.35</v>
      </c>
      <c r="C31" s="12">
        <v>0.45</v>
      </c>
    </row>
    <row r="32" spans="1:3" x14ac:dyDescent="0.35">
      <c r="A32" s="5" t="s">
        <v>98</v>
      </c>
      <c r="B32" s="12">
        <v>0.13</v>
      </c>
      <c r="C32" s="12">
        <v>0.18</v>
      </c>
    </row>
    <row r="33" spans="1:3" x14ac:dyDescent="0.35">
      <c r="A33" s="5" t="s">
        <v>99</v>
      </c>
      <c r="B33" s="12">
        <v>7.98</v>
      </c>
      <c r="C33" s="12">
        <v>47.530000000000008</v>
      </c>
    </row>
    <row r="34" spans="1:3" x14ac:dyDescent="0.35">
      <c r="A34" s="5" t="s">
        <v>100</v>
      </c>
      <c r="B34" s="12">
        <v>-7</v>
      </c>
      <c r="C34" s="12">
        <v>-10.27</v>
      </c>
    </row>
    <row r="35" spans="1:3" x14ac:dyDescent="0.35">
      <c r="A35" s="11" t="s">
        <v>101</v>
      </c>
      <c r="B35" s="14">
        <f>SUM(B28:B34)</f>
        <v>4.3900000000000006</v>
      </c>
      <c r="C35" s="14">
        <f>SUM(C28:C34)</f>
        <v>41.390000000000015</v>
      </c>
    </row>
    <row r="36" spans="1:3" x14ac:dyDescent="0.35">
      <c r="A36" s="5" t="s">
        <v>102</v>
      </c>
      <c r="B36" s="13">
        <f>B27-B35</f>
        <v>0</v>
      </c>
      <c r="C36" s="13">
        <f>C27-C35</f>
        <v>0</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2"/>
  <sheetViews>
    <sheetView workbookViewId="0"/>
  </sheetViews>
  <sheetFormatPr defaultRowHeight="14.5" x14ac:dyDescent="0.35"/>
  <cols>
    <col min="1" max="1" width="54" customWidth="1"/>
    <col min="2" max="2" width="14" customWidth="1"/>
    <col min="3" max="3" width="18" customWidth="1"/>
    <col min="4" max="4" width="60" customWidth="1"/>
  </cols>
  <sheetData>
    <row r="1" spans="1:4" ht="24" customHeight="1" x14ac:dyDescent="0.4">
      <c r="A1" s="1" t="s">
        <v>103</v>
      </c>
      <c r="B1" s="2"/>
      <c r="C1" s="2"/>
      <c r="D1" s="2"/>
    </row>
    <row r="2" spans="1:4" x14ac:dyDescent="0.35">
      <c r="A2" s="3" t="s">
        <v>104</v>
      </c>
    </row>
    <row r="3" spans="1:4" ht="26" x14ac:dyDescent="0.35">
      <c r="A3" s="9" t="s">
        <v>105</v>
      </c>
      <c r="B3" s="10" t="s">
        <v>106</v>
      </c>
      <c r="C3" s="10" t="s">
        <v>107</v>
      </c>
      <c r="D3" s="10" t="s">
        <v>108</v>
      </c>
    </row>
    <row r="4" spans="1:4" x14ac:dyDescent="0.35">
      <c r="A4" s="5" t="s">
        <v>109</v>
      </c>
      <c r="B4" s="15">
        <v>76000</v>
      </c>
      <c r="C4" s="16">
        <v>2400</v>
      </c>
      <c r="D4" s="16">
        <v>1061.2670000000001</v>
      </c>
    </row>
    <row r="5" spans="1:4" x14ac:dyDescent="0.35">
      <c r="A5" s="5" t="s">
        <v>110</v>
      </c>
      <c r="B5" s="15">
        <v>90000</v>
      </c>
      <c r="C5" s="16">
        <v>2250</v>
      </c>
      <c r="D5" s="16">
        <v>524.9666666666667</v>
      </c>
    </row>
    <row r="6" spans="1:4" x14ac:dyDescent="0.35">
      <c r="A6" s="5" t="s">
        <v>111</v>
      </c>
      <c r="B6" s="15">
        <v>50000</v>
      </c>
      <c r="C6" s="16">
        <v>1800</v>
      </c>
      <c r="D6" s="16">
        <v>684.4000000000002</v>
      </c>
    </row>
    <row r="8" spans="1:4" x14ac:dyDescent="0.35">
      <c r="A8" s="5" t="s">
        <v>112</v>
      </c>
      <c r="B8" s="15">
        <v>45000</v>
      </c>
      <c r="D8" s="5" t="s">
        <v>113</v>
      </c>
    </row>
    <row r="9" spans="1:4" x14ac:dyDescent="0.35">
      <c r="A9" s="5" t="s">
        <v>114</v>
      </c>
      <c r="B9" s="15">
        <v>1400</v>
      </c>
      <c r="D9" s="5" t="s">
        <v>115</v>
      </c>
    </row>
    <row r="10" spans="1:4" x14ac:dyDescent="0.35">
      <c r="A10" s="5" t="s">
        <v>116</v>
      </c>
      <c r="B10" s="12">
        <v>0.9</v>
      </c>
      <c r="D10" s="5" t="s">
        <v>115</v>
      </c>
    </row>
    <row r="11" spans="1:4" x14ac:dyDescent="0.35">
      <c r="A11" s="5" t="s">
        <v>117</v>
      </c>
      <c r="B11" s="17">
        <v>0.12</v>
      </c>
      <c r="D11" s="5" t="s">
        <v>115</v>
      </c>
    </row>
    <row r="12" spans="1:4" x14ac:dyDescent="0.35">
      <c r="A12" s="5" t="s">
        <v>118</v>
      </c>
      <c r="B12" s="17">
        <v>0.08</v>
      </c>
      <c r="D12" s="5" t="s">
        <v>115</v>
      </c>
    </row>
    <row r="13" spans="1:4" x14ac:dyDescent="0.35">
      <c r="A13" s="5" t="s">
        <v>119</v>
      </c>
      <c r="B13" s="12">
        <v>0.47</v>
      </c>
      <c r="D13" s="5" t="s">
        <v>120</v>
      </c>
    </row>
    <row r="14" spans="1:4" x14ac:dyDescent="0.35">
      <c r="A14" s="5" t="s">
        <v>121</v>
      </c>
      <c r="B14" s="15">
        <v>30</v>
      </c>
      <c r="D14" s="5" t="s">
        <v>115</v>
      </c>
    </row>
    <row r="15" spans="1:4" x14ac:dyDescent="0.35">
      <c r="A15" s="5" t="s">
        <v>122</v>
      </c>
      <c r="B15" s="12">
        <v>0.18</v>
      </c>
      <c r="D15" s="5" t="s">
        <v>115</v>
      </c>
    </row>
    <row r="16" spans="1:4" x14ac:dyDescent="0.35">
      <c r="A16" s="5" t="s">
        <v>123</v>
      </c>
      <c r="B16" s="18">
        <v>3</v>
      </c>
      <c r="D16" s="5" t="s">
        <v>115</v>
      </c>
    </row>
    <row r="17" spans="1:4" x14ac:dyDescent="0.35">
      <c r="A17" s="5" t="s">
        <v>124</v>
      </c>
      <c r="B17" s="12">
        <v>0.21</v>
      </c>
      <c r="D17" s="5" t="s">
        <v>115</v>
      </c>
    </row>
    <row r="18" spans="1:4" x14ac:dyDescent="0.35">
      <c r="A18" s="5" t="s">
        <v>125</v>
      </c>
      <c r="B18" s="12">
        <v>1.2</v>
      </c>
      <c r="D18" s="5" t="s">
        <v>126</v>
      </c>
    </row>
    <row r="19" spans="1:4" x14ac:dyDescent="0.35">
      <c r="A19" s="5" t="s">
        <v>127</v>
      </c>
      <c r="B19" s="19">
        <v>4</v>
      </c>
      <c r="D19" s="5" t="s">
        <v>128</v>
      </c>
    </row>
    <row r="20" spans="1:4" x14ac:dyDescent="0.35">
      <c r="A20" s="5" t="s">
        <v>129</v>
      </c>
      <c r="B20" s="12">
        <v>1.488661351595709</v>
      </c>
      <c r="D20" s="5" t="s">
        <v>130</v>
      </c>
    </row>
    <row r="21" spans="1:4" x14ac:dyDescent="0.35">
      <c r="A21" s="5" t="s">
        <v>131</v>
      </c>
      <c r="B21" s="12">
        <v>5.3097777777777768</v>
      </c>
      <c r="D21" s="5" t="s">
        <v>132</v>
      </c>
    </row>
    <row r="22" spans="1:4" x14ac:dyDescent="0.35">
      <c r="A22" s="5" t="s">
        <v>133</v>
      </c>
      <c r="B22" s="12">
        <v>2.4156441824999999</v>
      </c>
      <c r="D22" s="5" t="s">
        <v>134</v>
      </c>
    </row>
    <row r="23" spans="1:4" x14ac:dyDescent="0.35">
      <c r="A23" s="5" t="s">
        <v>135</v>
      </c>
      <c r="B23" s="12">
        <v>2.637325777777777</v>
      </c>
      <c r="D23" s="5" t="s">
        <v>136</v>
      </c>
    </row>
    <row r="24" spans="1:4" x14ac:dyDescent="0.35">
      <c r="A24" s="5" t="s">
        <v>137</v>
      </c>
      <c r="B24" s="12">
        <v>0.52</v>
      </c>
      <c r="D24" s="5" t="s">
        <v>138</v>
      </c>
    </row>
    <row r="25" spans="1:4" x14ac:dyDescent="0.35">
      <c r="A25" s="5" t="s">
        <v>139</v>
      </c>
      <c r="B25" s="20">
        <v>0.25168000000000001</v>
      </c>
      <c r="D25" s="5" t="s">
        <v>140</v>
      </c>
    </row>
    <row r="27" spans="1:4" x14ac:dyDescent="0.35">
      <c r="A27" s="4" t="s">
        <v>141</v>
      </c>
    </row>
    <row r="28" spans="1:4" x14ac:dyDescent="0.35">
      <c r="A28" s="5" t="s">
        <v>142</v>
      </c>
      <c r="B28" s="5" t="s">
        <v>143</v>
      </c>
    </row>
    <row r="29" spans="1:4" x14ac:dyDescent="0.35">
      <c r="A29" s="5" t="s">
        <v>144</v>
      </c>
      <c r="B29" s="5" t="s">
        <v>145</v>
      </c>
    </row>
    <row r="30" spans="1:4" ht="37.5" x14ac:dyDescent="0.35">
      <c r="A30" s="5" t="s">
        <v>76</v>
      </c>
      <c r="B30" s="5" t="s">
        <v>146</v>
      </c>
    </row>
    <row r="31" spans="1:4" x14ac:dyDescent="0.35">
      <c r="A31" s="5" t="s">
        <v>147</v>
      </c>
      <c r="B31" s="5" t="s">
        <v>148</v>
      </c>
    </row>
    <row r="32" spans="1:4" ht="37.5" x14ac:dyDescent="0.35">
      <c r="A32" s="5" t="s">
        <v>149</v>
      </c>
      <c r="B32" s="5" t="s">
        <v>150</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55"/>
  <sheetViews>
    <sheetView workbookViewId="0"/>
  </sheetViews>
  <sheetFormatPr defaultRowHeight="14.5" x14ac:dyDescent="0.35"/>
  <cols>
    <col min="1" max="1" width="56" customWidth="1"/>
    <col min="2" max="2" width="4" customWidth="1"/>
    <col min="3" max="4" width="16" customWidth="1"/>
  </cols>
  <sheetData>
    <row r="1" spans="1:4" ht="24" customHeight="1" x14ac:dyDescent="0.4">
      <c r="A1" s="1" t="s">
        <v>151</v>
      </c>
      <c r="B1" s="2"/>
      <c r="C1" s="2"/>
      <c r="D1" s="2"/>
    </row>
    <row r="2" spans="1:4" x14ac:dyDescent="0.35">
      <c r="A2" s="3" t="s">
        <v>152</v>
      </c>
    </row>
    <row r="3" spans="1:4" x14ac:dyDescent="0.35">
      <c r="A3" s="9" t="s">
        <v>153</v>
      </c>
      <c r="B3" s="10"/>
      <c r="C3" s="10" t="s">
        <v>154</v>
      </c>
      <c r="D3" s="10" t="s">
        <v>155</v>
      </c>
    </row>
    <row r="4" spans="1:4" x14ac:dyDescent="0.35">
      <c r="A4" s="5" t="s">
        <v>156</v>
      </c>
      <c r="C4" s="21">
        <f>'02_Historicals'!B4</f>
        <v>30</v>
      </c>
      <c r="D4" s="13">
        <f>SUMPRODUCT('03_Drivers'!B4:B6,'03_Drivers'!C4:C6)/10000000</f>
        <v>47.49</v>
      </c>
    </row>
    <row r="5" spans="1:4" x14ac:dyDescent="0.35">
      <c r="A5" s="5" t="s">
        <v>73</v>
      </c>
      <c r="C5" s="21">
        <f>'02_Historicals'!B7</f>
        <v>10.167135</v>
      </c>
      <c r="D5" s="13">
        <f>SUMPRODUCT('03_Drivers'!B4:B6,'03_Drivers'!D4:D6)/10000000</f>
        <v>16.212329199999999</v>
      </c>
    </row>
    <row r="6" spans="1:4" x14ac:dyDescent="0.35">
      <c r="A6" s="5" t="s">
        <v>74</v>
      </c>
      <c r="C6" s="21">
        <f>'02_Historicals'!B8</f>
        <v>-6.78</v>
      </c>
      <c r="D6" s="13">
        <f>-('03_Drivers'!B8*'03_Drivers'!B9/10000000+'03_Drivers'!B10+'03_Drivers'!B5*'03_Drivers'!C5/10000000*'03_Drivers'!B11+'03_Drivers'!B6*'03_Drivers'!C6/10000000*'03_Drivers'!B12)</f>
        <v>-10.35</v>
      </c>
    </row>
    <row r="7" spans="1:4" x14ac:dyDescent="0.35">
      <c r="A7" s="11" t="s">
        <v>75</v>
      </c>
      <c r="C7" s="13">
        <f>C5+C6</f>
        <v>3.3871349999999998</v>
      </c>
      <c r="D7" s="13">
        <f>D5+D6</f>
        <v>5.8623291999999996</v>
      </c>
    </row>
    <row r="8" spans="1:4" x14ac:dyDescent="0.35">
      <c r="A8" s="5" t="s">
        <v>76</v>
      </c>
      <c r="C8" s="21">
        <f>'02_Historicals'!B10</f>
        <v>-7.9200000000000008</v>
      </c>
      <c r="D8" s="13">
        <f>-('03_Drivers'!B13*12+'03_Drivers'!B14*'03_Drivers'!B15*0.5+'03_Drivers'!B16+'03_Drivers'!B17*12)</f>
        <v>-13.86</v>
      </c>
    </row>
    <row r="9" spans="1:4" x14ac:dyDescent="0.35">
      <c r="A9" s="11" t="s">
        <v>77</v>
      </c>
      <c r="C9" s="14">
        <f>C7+C8</f>
        <v>-4.532865000000001</v>
      </c>
      <c r="D9" s="14">
        <f>D7+D8</f>
        <v>-7.9976707999999999</v>
      </c>
    </row>
    <row r="10" spans="1:4" x14ac:dyDescent="0.35">
      <c r="A10" s="5" t="s">
        <v>78</v>
      </c>
      <c r="C10" s="21">
        <f>'02_Historicals'!B12</f>
        <v>-0.3</v>
      </c>
      <c r="D10" s="13">
        <f>-('02_Historicals'!C20/'03_Drivers'!B19+'03_Drivers'!B18/'03_Drivers'!B19/2)</f>
        <v>-0.44999999999999996</v>
      </c>
    </row>
    <row r="11" spans="1:4" x14ac:dyDescent="0.35">
      <c r="A11" s="11" t="s">
        <v>157</v>
      </c>
      <c r="C11" s="14">
        <f>C9+C10</f>
        <v>-4.8328650000000009</v>
      </c>
      <c r="D11" s="14">
        <f>D9+D10</f>
        <v>-8.4476707999999991</v>
      </c>
    </row>
    <row r="12" spans="1:4" x14ac:dyDescent="0.35">
      <c r="A12" s="5" t="s">
        <v>79</v>
      </c>
      <c r="C12" s="21">
        <f>'02_Historicals'!B13</f>
        <v>-0.04</v>
      </c>
      <c r="D12" s="12">
        <v>0</v>
      </c>
    </row>
    <row r="13" spans="1:4" x14ac:dyDescent="0.35">
      <c r="A13" s="5" t="s">
        <v>80</v>
      </c>
      <c r="C13" s="21">
        <f>'02_Historicals'!B14</f>
        <v>1.602865</v>
      </c>
      <c r="D13" s="21">
        <f>'03_Drivers'!B20</f>
        <v>1.488661351595709</v>
      </c>
    </row>
    <row r="14" spans="1:4" x14ac:dyDescent="0.35">
      <c r="A14" s="11" t="s">
        <v>81</v>
      </c>
      <c r="C14" s="14">
        <f>C11+C12+C13</f>
        <v>-3.2700000000000009</v>
      </c>
      <c r="D14" s="14">
        <f>D11+D12+D13</f>
        <v>-6.9590094484042897</v>
      </c>
    </row>
    <row r="15" spans="1:4" x14ac:dyDescent="0.35">
      <c r="A15" s="5" t="s">
        <v>158</v>
      </c>
      <c r="C15" s="21">
        <f>'02_Historicals'!B16</f>
        <v>0</v>
      </c>
      <c r="D15" s="13">
        <f>-MAX(0,D14)*'03_Drivers'!B25</f>
        <v>0</v>
      </c>
    </row>
    <row r="16" spans="1:4" x14ac:dyDescent="0.35">
      <c r="A16" s="11" t="s">
        <v>82</v>
      </c>
      <c r="C16" s="14">
        <f>C14+C15</f>
        <v>-3.2700000000000009</v>
      </c>
      <c r="D16" s="14">
        <f>D14+D15</f>
        <v>-6.9590094484042897</v>
      </c>
    </row>
    <row r="18" spans="1:4" x14ac:dyDescent="0.35">
      <c r="A18" s="9" t="s">
        <v>159</v>
      </c>
      <c r="B18" s="10"/>
      <c r="C18" s="10" t="s">
        <v>160</v>
      </c>
      <c r="D18" s="10" t="s">
        <v>161</v>
      </c>
    </row>
    <row r="19" spans="1:4" x14ac:dyDescent="0.35">
      <c r="A19" s="5" t="s">
        <v>86</v>
      </c>
      <c r="C19" s="21">
        <f>'02_Historicals'!C20</f>
        <v>1.2</v>
      </c>
      <c r="D19" s="13">
        <f>C19+'03_Drivers'!B18+D10</f>
        <v>1.95</v>
      </c>
    </row>
    <row r="20" spans="1:4" x14ac:dyDescent="0.35">
      <c r="A20" s="5" t="s">
        <v>87</v>
      </c>
      <c r="C20" s="21">
        <f>'02_Historicals'!C21</f>
        <v>0.15</v>
      </c>
      <c r="D20" s="13">
        <f>C20</f>
        <v>0.15</v>
      </c>
    </row>
    <row r="21" spans="1:4" x14ac:dyDescent="0.35">
      <c r="A21" s="5" t="s">
        <v>88</v>
      </c>
      <c r="C21" s="21">
        <f>'02_Historicals'!C22</f>
        <v>4.5</v>
      </c>
      <c r="D21" s="21">
        <f>'03_Drivers'!B21</f>
        <v>5.3097777777777768</v>
      </c>
    </row>
    <row r="22" spans="1:4" x14ac:dyDescent="0.35">
      <c r="A22" s="5" t="s">
        <v>162</v>
      </c>
      <c r="C22" s="21">
        <f>'02_Historicals'!C23</f>
        <v>1.5</v>
      </c>
      <c r="D22" s="21">
        <f>'03_Drivers'!B22</f>
        <v>2.4156441824999999</v>
      </c>
    </row>
    <row r="23" spans="1:4" x14ac:dyDescent="0.35">
      <c r="A23" s="5" t="s">
        <v>90</v>
      </c>
      <c r="C23" s="21">
        <f>'02_Historicals'!C24</f>
        <v>0.85</v>
      </c>
      <c r="D23" s="13">
        <f>C23</f>
        <v>0.85</v>
      </c>
    </row>
    <row r="24" spans="1:4" x14ac:dyDescent="0.35">
      <c r="A24" s="5" t="s">
        <v>91</v>
      </c>
      <c r="C24" s="21">
        <f>'02_Historicals'!C25</f>
        <v>0.6</v>
      </c>
      <c r="D24" s="13">
        <f>C24</f>
        <v>0.6</v>
      </c>
    </row>
    <row r="25" spans="1:4" x14ac:dyDescent="0.35">
      <c r="A25" s="5" t="s">
        <v>92</v>
      </c>
      <c r="C25" s="21">
        <f>'02_Historicals'!C26</f>
        <v>32.590000000000018</v>
      </c>
      <c r="D25" s="13">
        <f>C25+D43</f>
        <v>23.31289436909573</v>
      </c>
    </row>
    <row r="26" spans="1:4" x14ac:dyDescent="0.35">
      <c r="A26" s="11" t="s">
        <v>93</v>
      </c>
      <c r="C26" s="14">
        <f>SUM(C19:C25)</f>
        <v>41.390000000000015</v>
      </c>
      <c r="D26" s="14">
        <f>SUM(D19:D25)</f>
        <v>34.588316329373505</v>
      </c>
    </row>
    <row r="27" spans="1:4" x14ac:dyDescent="0.35">
      <c r="A27" s="5" t="s">
        <v>163</v>
      </c>
      <c r="C27" s="21">
        <f>'02_Historicals'!C29+'02_Historicals'!C30</f>
        <v>3</v>
      </c>
      <c r="D27" s="21">
        <f>'03_Drivers'!B23+'03_Drivers'!B24</f>
        <v>3.157325777777777</v>
      </c>
    </row>
    <row r="28" spans="1:4" x14ac:dyDescent="0.35">
      <c r="A28" s="5" t="s">
        <v>94</v>
      </c>
      <c r="C28" s="21">
        <f>'02_Historicals'!C28</f>
        <v>0.5</v>
      </c>
      <c r="D28" s="13">
        <f>C28</f>
        <v>0.5</v>
      </c>
    </row>
    <row r="29" spans="1:4" x14ac:dyDescent="0.35">
      <c r="A29" s="5" t="s">
        <v>97</v>
      </c>
      <c r="C29" s="21">
        <f>'02_Historicals'!C31</f>
        <v>0.45</v>
      </c>
      <c r="D29" s="13">
        <f>C29</f>
        <v>0.45</v>
      </c>
    </row>
    <row r="30" spans="1:4" x14ac:dyDescent="0.35">
      <c r="A30" s="5" t="s">
        <v>164</v>
      </c>
      <c r="C30" s="21">
        <f>'02_Historicals'!C32+'02_Historicals'!C33</f>
        <v>47.710000000000008</v>
      </c>
      <c r="D30" s="13">
        <f>C30</f>
        <v>47.710000000000008</v>
      </c>
    </row>
    <row r="31" spans="1:4" x14ac:dyDescent="0.35">
      <c r="A31" s="5" t="s">
        <v>100</v>
      </c>
      <c r="C31" s="21">
        <f>'02_Historicals'!C34</f>
        <v>-10.27</v>
      </c>
      <c r="D31" s="13">
        <f>C31+D16</f>
        <v>-17.229009448404291</v>
      </c>
    </row>
    <row r="32" spans="1:4" x14ac:dyDescent="0.35">
      <c r="A32" s="11" t="s">
        <v>101</v>
      </c>
      <c r="C32" s="14">
        <f>SUM(C27:C31)</f>
        <v>41.390000000000015</v>
      </c>
      <c r="D32" s="14">
        <f>SUM(D27:D31)</f>
        <v>34.588316329373491</v>
      </c>
    </row>
    <row r="34" spans="1:4" x14ac:dyDescent="0.35">
      <c r="A34" s="9" t="s">
        <v>165</v>
      </c>
      <c r="B34" s="10"/>
      <c r="C34" s="10"/>
      <c r="D34" s="10" t="s">
        <v>155</v>
      </c>
    </row>
    <row r="35" spans="1:4" x14ac:dyDescent="0.35">
      <c r="A35" s="5" t="s">
        <v>82</v>
      </c>
      <c r="D35" s="13">
        <f>D16</f>
        <v>-6.9590094484042897</v>
      </c>
    </row>
    <row r="36" spans="1:4" x14ac:dyDescent="0.35">
      <c r="A36" s="5" t="s">
        <v>166</v>
      </c>
      <c r="D36" s="13">
        <f>-D10</f>
        <v>0.44999999999999996</v>
      </c>
    </row>
    <row r="37" spans="1:4" x14ac:dyDescent="0.35">
      <c r="A37" s="5" t="s">
        <v>167</v>
      </c>
      <c r="D37" s="13">
        <f>-(D22-C22)</f>
        <v>-0.9156441824999999</v>
      </c>
    </row>
    <row r="38" spans="1:4" x14ac:dyDescent="0.35">
      <c r="A38" s="5" t="s">
        <v>168</v>
      </c>
      <c r="D38" s="13">
        <f>-(D21-C21)</f>
        <v>-0.80977777777777682</v>
      </c>
    </row>
    <row r="39" spans="1:4" x14ac:dyDescent="0.35">
      <c r="A39" s="5" t="s">
        <v>169</v>
      </c>
      <c r="D39" s="13">
        <f>D27-C27</f>
        <v>0.15732577777777701</v>
      </c>
    </row>
    <row r="40" spans="1:4" x14ac:dyDescent="0.35">
      <c r="A40" s="11" t="s">
        <v>170</v>
      </c>
      <c r="D40" s="14">
        <f>SUM(D35:D39)</f>
        <v>-8.0771056309042901</v>
      </c>
    </row>
    <row r="41" spans="1:4" x14ac:dyDescent="0.35">
      <c r="A41" s="5" t="s">
        <v>171</v>
      </c>
      <c r="D41" s="13">
        <f>-'03_Drivers'!B18</f>
        <v>-1.2</v>
      </c>
    </row>
    <row r="42" spans="1:4" x14ac:dyDescent="0.35">
      <c r="A42" s="5" t="s">
        <v>172</v>
      </c>
      <c r="D42" s="12">
        <v>0</v>
      </c>
    </row>
    <row r="43" spans="1:4" x14ac:dyDescent="0.35">
      <c r="A43" s="11" t="s">
        <v>173</v>
      </c>
      <c r="D43" s="14">
        <f>D40+D41+D42</f>
        <v>-9.2771056309042894</v>
      </c>
    </row>
    <row r="45" spans="1:4" x14ac:dyDescent="0.35">
      <c r="A45" s="9" t="s">
        <v>174</v>
      </c>
      <c r="B45" s="10"/>
      <c r="C45" s="10"/>
      <c r="D45" s="10" t="s">
        <v>175</v>
      </c>
    </row>
    <row r="46" spans="1:4" x14ac:dyDescent="0.35">
      <c r="A46" s="5" t="s">
        <v>176</v>
      </c>
      <c r="D46" s="22">
        <f>ROUND(D26-D32,9)</f>
        <v>0</v>
      </c>
    </row>
    <row r="47" spans="1:4" x14ac:dyDescent="0.35">
      <c r="A47" s="5" t="s">
        <v>177</v>
      </c>
      <c r="D47" s="22">
        <f>ROUND(ABS(C4-'02_Historicals'!B4)+ABS(C9-'02_Historicals'!B11)+ABS(C13-'02_Historicals'!B14)+ABS(C16-'02_Historicals'!B17)+ABS(C26-'02_Historicals'!C27),9)</f>
        <v>0</v>
      </c>
    </row>
    <row r="48" spans="1:4" x14ac:dyDescent="0.35">
      <c r="A48" s="5" t="s">
        <v>178</v>
      </c>
      <c r="D48" s="22">
        <f>ROUND(D4-('03_Drivers'!B4*'03_Drivers'!C4+'03_Drivers'!B5*'03_Drivers'!C5+'03_Drivers'!B6*'03_Drivers'!C6)/10000000,9)</f>
        <v>0</v>
      </c>
    </row>
    <row r="49" spans="1:4" x14ac:dyDescent="0.35">
      <c r="A49" s="5" t="s">
        <v>179</v>
      </c>
      <c r="D49" s="22">
        <f>ROUND((C19+'03_Drivers'!B18+D10-D19)+(C25+D43-D25),9)</f>
        <v>0</v>
      </c>
    </row>
    <row r="51" spans="1:4" x14ac:dyDescent="0.35">
      <c r="A51" s="9" t="s">
        <v>180</v>
      </c>
      <c r="B51" s="10"/>
      <c r="C51" s="10" t="s">
        <v>160</v>
      </c>
      <c r="D51" s="10" t="s">
        <v>175</v>
      </c>
    </row>
    <row r="52" spans="1:4" x14ac:dyDescent="0.35">
      <c r="A52" s="5" t="s">
        <v>181</v>
      </c>
      <c r="C52" s="13">
        <f>C21+C22-C27</f>
        <v>3</v>
      </c>
      <c r="D52" s="13">
        <f>D21+D22-D27</f>
        <v>4.5680961824999997</v>
      </c>
    </row>
    <row r="53" spans="1:4" x14ac:dyDescent="0.35">
      <c r="A53" s="5" t="s">
        <v>182</v>
      </c>
      <c r="D53" s="13">
        <f>D52-C52</f>
        <v>1.5680961824999997</v>
      </c>
    </row>
    <row r="54" spans="1:4" x14ac:dyDescent="0.35">
      <c r="A54" s="5" t="s">
        <v>183</v>
      </c>
      <c r="D54" s="13">
        <f>D11-MAX(0,D11)*'03_Drivers'!B25</f>
        <v>-8.4476707999999991</v>
      </c>
    </row>
    <row r="55" spans="1:4" x14ac:dyDescent="0.35">
      <c r="A55" s="11" t="s">
        <v>184</v>
      </c>
      <c r="D55" s="14">
        <f>D54-('03_Drivers'!B18+D10)-D53</f>
        <v>-10.765766982499999</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27"/>
  <sheetViews>
    <sheetView workbookViewId="0"/>
  </sheetViews>
  <sheetFormatPr defaultRowHeight="14.5" x14ac:dyDescent="0.35"/>
  <cols>
    <col min="1" max="1" width="50" customWidth="1"/>
    <col min="2" max="2" width="16" customWidth="1"/>
  </cols>
  <sheetData>
    <row r="1" spans="1:3" ht="24" customHeight="1" x14ac:dyDescent="0.4">
      <c r="A1" s="1" t="s">
        <v>28</v>
      </c>
      <c r="B1" s="2"/>
      <c r="C1" s="2"/>
    </row>
    <row r="2" spans="1:3" x14ac:dyDescent="0.35">
      <c r="A2" s="3" t="s">
        <v>185</v>
      </c>
    </row>
    <row r="4" spans="1:3" x14ac:dyDescent="0.35">
      <c r="A4" s="5" t="s">
        <v>186</v>
      </c>
      <c r="B4" s="23">
        <v>6.5000000000000002E-2</v>
      </c>
    </row>
    <row r="5" spans="1:3" x14ac:dyDescent="0.35">
      <c r="A5" s="5" t="s">
        <v>187</v>
      </c>
      <c r="B5" s="23">
        <v>1.2E-2</v>
      </c>
    </row>
    <row r="6" spans="1:3" x14ac:dyDescent="0.35">
      <c r="A6" s="5" t="s">
        <v>188</v>
      </c>
      <c r="B6" s="15">
        <v>1</v>
      </c>
    </row>
    <row r="7" spans="1:3" x14ac:dyDescent="0.35">
      <c r="A7" s="5" t="s">
        <v>189</v>
      </c>
      <c r="B7" s="23">
        <v>4.4999999999999998E-2</v>
      </c>
    </row>
    <row r="8" spans="1:3" x14ac:dyDescent="0.35">
      <c r="A8" s="5" t="s">
        <v>190</v>
      </c>
      <c r="B8" s="23">
        <v>1.7999999999999999E-2</v>
      </c>
    </row>
    <row r="9" spans="1:3" x14ac:dyDescent="0.35">
      <c r="A9" s="5" t="s">
        <v>191</v>
      </c>
      <c r="B9" s="24">
        <v>1.4</v>
      </c>
    </row>
    <row r="10" spans="1:3" x14ac:dyDescent="0.35">
      <c r="A10" s="5" t="s">
        <v>192</v>
      </c>
      <c r="B10" s="23">
        <v>0.1</v>
      </c>
    </row>
    <row r="11" spans="1:3" x14ac:dyDescent="0.35">
      <c r="A11" s="5" t="s">
        <v>193</v>
      </c>
      <c r="B11" s="23">
        <v>0</v>
      </c>
    </row>
    <row r="12" spans="1:3" x14ac:dyDescent="0.35">
      <c r="A12" s="5" t="s">
        <v>194</v>
      </c>
      <c r="B12" s="18">
        <v>15</v>
      </c>
    </row>
    <row r="13" spans="1:3" x14ac:dyDescent="0.35">
      <c r="A13" s="5" t="s">
        <v>195</v>
      </c>
      <c r="B13" s="23">
        <v>0.05</v>
      </c>
    </row>
    <row r="14" spans="1:3" x14ac:dyDescent="0.35">
      <c r="A14" s="5" t="s">
        <v>196</v>
      </c>
      <c r="B14" s="23">
        <v>0.18</v>
      </c>
    </row>
    <row r="15" spans="1:3" x14ac:dyDescent="0.35">
      <c r="A15" s="5" t="s">
        <v>197</v>
      </c>
      <c r="B15" s="25">
        <v>0.25168000000000001</v>
      </c>
    </row>
    <row r="17" spans="1:2" x14ac:dyDescent="0.35">
      <c r="A17" s="5" t="s">
        <v>198</v>
      </c>
      <c r="B17" s="26">
        <f>B4-B6*B5</f>
        <v>5.3000000000000005E-2</v>
      </c>
    </row>
    <row r="18" spans="1:2" x14ac:dyDescent="0.35">
      <c r="A18" s="5" t="s">
        <v>199</v>
      </c>
      <c r="B18" s="26">
        <f>B17+B9*(B7+B8)</f>
        <v>0.14119999999999999</v>
      </c>
    </row>
    <row r="19" spans="1:2" x14ac:dyDescent="0.35">
      <c r="A19" s="5" t="s">
        <v>200</v>
      </c>
      <c r="B19" s="26">
        <f>B10*(1-B15)</f>
        <v>7.4831999999999996E-2</v>
      </c>
    </row>
    <row r="20" spans="1:2" x14ac:dyDescent="0.35">
      <c r="A20" s="11" t="s">
        <v>201</v>
      </c>
      <c r="B20" s="27">
        <f>(1-B11)*B18+B11*B19</f>
        <v>0.14119999999999999</v>
      </c>
    </row>
    <row r="21" spans="1:2" x14ac:dyDescent="0.35">
      <c r="A21" s="5" t="s">
        <v>202</v>
      </c>
      <c r="B21" s="26">
        <f>B13/B14</f>
        <v>0.27777777777777779</v>
      </c>
    </row>
    <row r="22" spans="1:2" x14ac:dyDescent="0.35">
      <c r="A22" s="5" t="s">
        <v>203</v>
      </c>
      <c r="B22" s="13">
        <f>B12*(1-B21)</f>
        <v>10.833333333333334</v>
      </c>
    </row>
    <row r="23" spans="1:2" x14ac:dyDescent="0.35">
      <c r="A23" s="11" t="s">
        <v>204</v>
      </c>
      <c r="B23" s="14">
        <f>IF(AND(B20&gt;B13,B21&lt;=1),B22/(B20-B13),"no finite value")</f>
        <v>118.78654970760236</v>
      </c>
    </row>
    <row r="24" spans="1:2" x14ac:dyDescent="0.35">
      <c r="A24" s="5" t="s">
        <v>205</v>
      </c>
      <c r="B24" s="13">
        <f>B12/B20</f>
        <v>106.23229461756374</v>
      </c>
    </row>
    <row r="25" spans="1:2" x14ac:dyDescent="0.35">
      <c r="A25" s="5" t="s">
        <v>206</v>
      </c>
      <c r="B25" s="13">
        <f>IF(ISNUMBER(B23),B23-B24,"")</f>
        <v>12.554255090038623</v>
      </c>
    </row>
    <row r="26" spans="1:2" x14ac:dyDescent="0.35">
      <c r="A26" s="5" t="s">
        <v>207</v>
      </c>
      <c r="B26" s="28">
        <f>IF(ISNUMBER(B23),B12/(B20-B13)/B23-1,"")</f>
        <v>0.38461538461538436</v>
      </c>
    </row>
    <row r="27" spans="1:2" x14ac:dyDescent="0.35">
      <c r="A27" s="5" t="s">
        <v>208</v>
      </c>
      <c r="B27" s="28">
        <f>(1+B20)^0.5-1</f>
        <v>6.8269628885891276E-2</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1"/>
  <sheetViews>
    <sheetView workbookViewId="0"/>
  </sheetViews>
  <sheetFormatPr defaultRowHeight="14.5" x14ac:dyDescent="0.35"/>
  <cols>
    <col min="1" max="1" width="20" customWidth="1"/>
    <col min="2" max="2" width="120" customWidth="1"/>
  </cols>
  <sheetData>
    <row r="1" spans="1:2" ht="24" customHeight="1" x14ac:dyDescent="0.4">
      <c r="A1" s="1" t="s">
        <v>30</v>
      </c>
      <c r="B1" s="2"/>
    </row>
    <row r="2" spans="1:2" x14ac:dyDescent="0.35">
      <c r="A2" s="3" t="s">
        <v>209</v>
      </c>
    </row>
    <row r="3" spans="1:2" ht="25" x14ac:dyDescent="0.35">
      <c r="A3" s="11" t="s">
        <v>56</v>
      </c>
      <c r="B3" s="5" t="s">
        <v>210</v>
      </c>
    </row>
    <row r="4" spans="1:2" x14ac:dyDescent="0.35">
      <c r="A4" s="11" t="s">
        <v>211</v>
      </c>
      <c r="B4" s="5" t="s">
        <v>212</v>
      </c>
    </row>
    <row r="5" spans="1:2" x14ac:dyDescent="0.35">
      <c r="A5" s="11" t="s">
        <v>213</v>
      </c>
      <c r="B5" s="5" t="s">
        <v>214</v>
      </c>
    </row>
    <row r="6" spans="1:2" x14ac:dyDescent="0.35">
      <c r="A6" s="11" t="s">
        <v>58</v>
      </c>
      <c r="B6" s="5" t="s">
        <v>215</v>
      </c>
    </row>
    <row r="7" spans="1:2" ht="25" x14ac:dyDescent="0.35">
      <c r="A7" s="11" t="s">
        <v>216</v>
      </c>
      <c r="B7" s="5" t="s">
        <v>217</v>
      </c>
    </row>
    <row r="8" spans="1:2" x14ac:dyDescent="0.35">
      <c r="A8" s="11" t="s">
        <v>218</v>
      </c>
      <c r="B8" s="5" t="s">
        <v>219</v>
      </c>
    </row>
    <row r="9" spans="1:2" x14ac:dyDescent="0.35">
      <c r="A9" s="11" t="s">
        <v>220</v>
      </c>
      <c r="B9" s="5" t="s">
        <v>221</v>
      </c>
    </row>
    <row r="10" spans="1:2" x14ac:dyDescent="0.35">
      <c r="A10" s="11" t="s">
        <v>222</v>
      </c>
      <c r="B10" s="5" t="s">
        <v>223</v>
      </c>
    </row>
    <row r="11" spans="1:2" x14ac:dyDescent="0.35">
      <c r="A11" s="11" t="s">
        <v>224</v>
      </c>
      <c r="B11" s="5" t="s">
        <v>225</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3"/>
  <sheetViews>
    <sheetView workbookViewId="0"/>
  </sheetViews>
  <sheetFormatPr defaultRowHeight="14.5" x14ac:dyDescent="0.35"/>
  <cols>
    <col min="1" max="1" width="42" customWidth="1"/>
    <col min="2" max="3" width="16" customWidth="1"/>
    <col min="4" max="4" width="14" customWidth="1"/>
    <col min="5" max="6" width="12" customWidth="1"/>
  </cols>
  <sheetData>
    <row r="1" spans="1:6" ht="24" customHeight="1" x14ac:dyDescent="0.4">
      <c r="A1" s="1" t="s">
        <v>226</v>
      </c>
      <c r="B1" s="2"/>
      <c r="C1" s="2"/>
      <c r="D1" s="2"/>
      <c r="E1" s="2"/>
      <c r="F1" s="2"/>
    </row>
    <row r="2" spans="1:6" x14ac:dyDescent="0.35">
      <c r="A2" s="3" t="s">
        <v>227</v>
      </c>
    </row>
    <row r="3" spans="1:6" x14ac:dyDescent="0.35">
      <c r="A3" s="9" t="s">
        <v>228</v>
      </c>
      <c r="B3" s="10" t="s">
        <v>229</v>
      </c>
      <c r="C3" s="10" t="s">
        <v>230</v>
      </c>
      <c r="D3" s="10" t="s">
        <v>231</v>
      </c>
      <c r="E3" s="10" t="s">
        <v>232</v>
      </c>
      <c r="F3" s="10" t="s">
        <v>233</v>
      </c>
    </row>
    <row r="4" spans="1:6" x14ac:dyDescent="0.35">
      <c r="A4" s="5" t="s">
        <v>234</v>
      </c>
      <c r="B4" s="12">
        <v>47.49</v>
      </c>
      <c r="C4" s="21">
        <f>'04_Build'!D4</f>
        <v>47.49</v>
      </c>
      <c r="D4" s="13">
        <f t="shared" ref="D4:D13" si="0">IF(ISNUMBER(C4),C4-B4,"")</f>
        <v>0</v>
      </c>
      <c r="E4" s="29" t="str">
        <f t="shared" ref="E4:E13" si="1">IF(NOT(ISNUMBER(C4)),"Not built",IF(ABS(D4)&lt;=F4+0.000000001,"Agrees","Check"))</f>
        <v>Agrees</v>
      </c>
      <c r="F4" s="12">
        <v>5.0000000000000001E-3</v>
      </c>
    </row>
    <row r="5" spans="1:6" x14ac:dyDescent="0.35">
      <c r="A5" s="5" t="s">
        <v>235</v>
      </c>
      <c r="B5" s="12">
        <v>-7.9976710000000004</v>
      </c>
      <c r="C5" s="21">
        <f>'04_Build'!D9</f>
        <v>-7.9976707999999999</v>
      </c>
      <c r="D5" s="13">
        <f t="shared" si="0"/>
        <v>2.0000000056086265E-7</v>
      </c>
      <c r="E5" s="29" t="str">
        <f t="shared" si="1"/>
        <v>Agrees</v>
      </c>
      <c r="F5" s="12">
        <v>5.0000000000000001E-3</v>
      </c>
    </row>
    <row r="6" spans="1:6" x14ac:dyDescent="0.35">
      <c r="A6" s="5" t="s">
        <v>236</v>
      </c>
      <c r="B6" s="12">
        <v>0.45</v>
      </c>
      <c r="C6" s="21">
        <f>-'04_Build'!D10</f>
        <v>0.44999999999999996</v>
      </c>
      <c r="D6" s="13">
        <f t="shared" si="0"/>
        <v>-5.5511151231257827E-17</v>
      </c>
      <c r="E6" s="29" t="str">
        <f t="shared" si="1"/>
        <v>Agrees</v>
      </c>
      <c r="F6" s="12">
        <v>5.0000000000000001E-3</v>
      </c>
    </row>
    <row r="7" spans="1:6" x14ac:dyDescent="0.35">
      <c r="A7" s="5" t="s">
        <v>237</v>
      </c>
      <c r="B7" s="12">
        <v>-6.959009</v>
      </c>
      <c r="C7" s="21">
        <f>'04_Build'!D16</f>
        <v>-6.9590094484042897</v>
      </c>
      <c r="D7" s="13">
        <f t="shared" si="0"/>
        <v>-4.4840428969905588E-7</v>
      </c>
      <c r="E7" s="29" t="str">
        <f t="shared" si="1"/>
        <v>Agrees</v>
      </c>
      <c r="F7" s="12">
        <v>5.0000000000000001E-3</v>
      </c>
    </row>
    <row r="8" spans="1:6" x14ac:dyDescent="0.35">
      <c r="A8" s="5" t="s">
        <v>238</v>
      </c>
      <c r="B8" s="12">
        <v>23.312894</v>
      </c>
      <c r="C8" s="21">
        <f>'04_Build'!D25</f>
        <v>23.31289436909573</v>
      </c>
      <c r="D8" s="13">
        <f t="shared" si="0"/>
        <v>3.6909572997956275E-7</v>
      </c>
      <c r="E8" s="29" t="str">
        <f t="shared" si="1"/>
        <v>Agrees</v>
      </c>
      <c r="F8" s="12">
        <v>5.0000000000000001E-3</v>
      </c>
    </row>
    <row r="9" spans="1:6" x14ac:dyDescent="0.35">
      <c r="A9" s="5" t="s">
        <v>239</v>
      </c>
      <c r="B9" s="12">
        <v>1.5680959999999999</v>
      </c>
      <c r="C9" s="21">
        <f>'04_Build'!D53</f>
        <v>1.5680961824999997</v>
      </c>
      <c r="D9" s="13">
        <f t="shared" si="0"/>
        <v>1.8249999977903997E-7</v>
      </c>
      <c r="E9" s="29" t="str">
        <f t="shared" si="1"/>
        <v>Agrees</v>
      </c>
      <c r="F9" s="12">
        <v>5.0000000000000001E-3</v>
      </c>
    </row>
    <row r="10" spans="1:6" x14ac:dyDescent="0.35">
      <c r="A10" s="5" t="s">
        <v>240</v>
      </c>
      <c r="B10" s="12">
        <v>-10.765767</v>
      </c>
      <c r="C10" s="21">
        <f>'04_Build'!D55</f>
        <v>-10.765766982499999</v>
      </c>
      <c r="D10" s="13">
        <f t="shared" si="0"/>
        <v>1.7500001447956492E-8</v>
      </c>
      <c r="E10" s="29" t="str">
        <f t="shared" si="1"/>
        <v>Agrees</v>
      </c>
      <c r="F10" s="12">
        <v>5.0000000000000001E-3</v>
      </c>
    </row>
    <row r="11" spans="1:6" x14ac:dyDescent="0.35">
      <c r="A11" s="5" t="s">
        <v>241</v>
      </c>
      <c r="B11" s="30">
        <v>0</v>
      </c>
      <c r="C11" s="31">
        <f>'04_Build'!D46</f>
        <v>0</v>
      </c>
      <c r="D11" s="32">
        <f t="shared" si="0"/>
        <v>0</v>
      </c>
      <c r="E11" s="29" t="str">
        <f t="shared" si="1"/>
        <v>Agrees</v>
      </c>
      <c r="F11" s="30">
        <v>1E-4</v>
      </c>
    </row>
    <row r="12" spans="1:6" x14ac:dyDescent="0.35">
      <c r="A12" s="5" t="s">
        <v>242</v>
      </c>
      <c r="B12" s="33">
        <v>0.14119999999999999</v>
      </c>
      <c r="C12" s="34">
        <f>'05_Valuation'!B18</f>
        <v>0.14119999999999999</v>
      </c>
      <c r="D12" s="26">
        <f t="shared" si="0"/>
        <v>0</v>
      </c>
      <c r="E12" s="29" t="str">
        <f t="shared" si="1"/>
        <v>Agrees</v>
      </c>
      <c r="F12" s="33">
        <v>1E-4</v>
      </c>
    </row>
    <row r="13" spans="1:6" x14ac:dyDescent="0.35">
      <c r="A13" s="5" t="s">
        <v>243</v>
      </c>
      <c r="B13" s="12">
        <v>118.78655000000001</v>
      </c>
      <c r="C13" s="21">
        <f>'05_Valuation'!B23</f>
        <v>118.78654970760236</v>
      </c>
      <c r="D13" s="13">
        <f t="shared" si="0"/>
        <v>-2.9239764387511968E-7</v>
      </c>
      <c r="E13" s="29" t="str">
        <f t="shared" si="1"/>
        <v>Agrees</v>
      </c>
      <c r="F13" s="12">
        <v>0.01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ReadMe</vt:lpstr>
      <vt:lpstr>01_Case</vt:lpstr>
      <vt:lpstr>02_Historicals</vt:lpstr>
      <vt:lpstr>03_Drivers</vt:lpstr>
      <vt:lpstr>04_Build</vt:lpstr>
      <vt:lpstr>05_Valuation</vt:lpstr>
      <vt:lpstr>06_Spec</vt:lpstr>
      <vt:lpstr>07_Answer_Check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Anbuselvan A S</cp:lastModifiedBy>
  <dcterms:created xsi:type="dcterms:W3CDTF">2026-09-25T00:01:58Z</dcterms:created>
  <dcterms:modified xsi:type="dcterms:W3CDTF">2026-09-25T00:02:00Z</dcterms:modified>
</cp:coreProperties>
</file>