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buselvan\Projects\Dissent Courses\studio\public\courses\investor-reporting-and-data-room\"/>
    </mc:Choice>
  </mc:AlternateContent>
  <xr:revisionPtr revIDLastSave="0" documentId="13_ncr:1_{B9C71CC2-BB3F-4DCA-BF38-F7673E6063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adMe" sheetId="1" r:id="rId1"/>
    <sheet name="01_Case" sheetId="2" r:id="rId2"/>
    <sheet name="02_Update" sheetId="3" r:id="rId3"/>
    <sheet name="03_Board_Pack" sheetId="4" r:id="rId4"/>
    <sheet name="04_KPI_Recon" sheetId="5" r:id="rId5"/>
    <sheet name="05_Data_Room" sheetId="6" r:id="rId6"/>
    <sheet name="06_QA_Tracker" sheetId="7" r:id="rId7"/>
    <sheet name="07_Spec" sheetId="8" r:id="rId8"/>
    <sheet name="08_Answer_Check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9" l="1"/>
  <c r="D7" i="9" s="1"/>
  <c r="H8" i="7"/>
  <c r="F8" i="7"/>
  <c r="D8" i="7"/>
  <c r="H7" i="7"/>
  <c r="F7" i="7"/>
  <c r="D7" i="7"/>
  <c r="H6" i="7"/>
  <c r="F6" i="7"/>
  <c r="D6" i="7"/>
  <c r="H5" i="7"/>
  <c r="F5" i="7"/>
  <c r="D5" i="7"/>
  <c r="H4" i="7"/>
  <c r="F4" i="7"/>
  <c r="D4" i="7"/>
  <c r="C29" i="6"/>
  <c r="B29" i="6"/>
  <c r="B28" i="6"/>
  <c r="B27" i="6"/>
  <c r="B26" i="6"/>
  <c r="B25" i="6"/>
  <c r="D22" i="6"/>
  <c r="D21" i="6"/>
  <c r="D20" i="6"/>
  <c r="D19" i="6"/>
  <c r="D18" i="6"/>
  <c r="D17" i="6"/>
  <c r="C28" i="6" s="1"/>
  <c r="D28" i="6" s="1"/>
  <c r="D16" i="6"/>
  <c r="D15" i="6"/>
  <c r="D14" i="6"/>
  <c r="C27" i="6" s="1"/>
  <c r="D27" i="6" s="1"/>
  <c r="D13" i="6"/>
  <c r="D12" i="6"/>
  <c r="D11" i="6"/>
  <c r="D10" i="6"/>
  <c r="C26" i="6" s="1"/>
  <c r="D26" i="6" s="1"/>
  <c r="D9" i="6"/>
  <c r="D8" i="6"/>
  <c r="D7" i="6"/>
  <c r="D6" i="6"/>
  <c r="D5" i="6"/>
  <c r="D4" i="6"/>
  <c r="C25" i="6" s="1"/>
  <c r="C18" i="5"/>
  <c r="B18" i="5"/>
  <c r="B28" i="5" s="1"/>
  <c r="C15" i="5"/>
  <c r="D9" i="5"/>
  <c r="C9" i="5"/>
  <c r="B9" i="5"/>
  <c r="D8" i="5"/>
  <c r="C8" i="5"/>
  <c r="B8" i="5"/>
  <c r="B25" i="4"/>
  <c r="B19" i="4"/>
  <c r="C12" i="9" s="1"/>
  <c r="B9" i="4"/>
  <c r="B15" i="4" s="1"/>
  <c r="B5" i="4"/>
  <c r="B4" i="4"/>
  <c r="B30" i="4" s="1"/>
  <c r="B39" i="3"/>
  <c r="B41" i="3" s="1"/>
  <c r="B38" i="3"/>
  <c r="B26" i="3"/>
  <c r="B28" i="3" s="1"/>
  <c r="B23" i="3"/>
  <c r="C8" i="9" s="1"/>
  <c r="B21" i="3"/>
  <c r="B16" i="3"/>
  <c r="B15" i="5" s="1"/>
  <c r="B13" i="3"/>
  <c r="D6" i="3"/>
  <c r="C6" i="3"/>
  <c r="B6" i="3"/>
  <c r="E6" i="3" s="1"/>
  <c r="E4" i="3"/>
  <c r="D29" i="6" l="1"/>
  <c r="C28" i="5"/>
  <c r="H28" i="5" s="1"/>
  <c r="B21" i="4"/>
  <c r="D28" i="5"/>
  <c r="I28" i="5" s="1"/>
  <c r="B18" i="3"/>
  <c r="B20" i="4"/>
  <c r="E28" i="5"/>
  <c r="J28" i="5" s="1"/>
  <c r="H12" i="7"/>
  <c r="C13" i="5"/>
  <c r="C5" i="9" s="1"/>
  <c r="D5" i="9" s="1"/>
  <c r="B30" i="6"/>
  <c r="F11" i="7"/>
  <c r="C14" i="9" s="1"/>
  <c r="D14" i="9" s="1"/>
  <c r="E14" i="9" s="1"/>
  <c r="C6" i="9"/>
  <c r="D8" i="9"/>
  <c r="E8" i="9" s="1"/>
  <c r="B43" i="3"/>
  <c r="B46" i="3" s="1"/>
  <c r="C10" i="9"/>
  <c r="G28" i="5"/>
  <c r="E27" i="5"/>
  <c r="J27" i="5" s="1"/>
  <c r="C27" i="5"/>
  <c r="H27" i="5" s="1"/>
  <c r="D27" i="5"/>
  <c r="I27" i="5" s="1"/>
  <c r="B27" i="5"/>
  <c r="D12" i="9"/>
  <c r="E12" i="9" s="1"/>
  <c r="B10" i="3"/>
  <c r="B9" i="3"/>
  <c r="C4" i="9"/>
  <c r="B13" i="5"/>
  <c r="C30" i="6"/>
  <c r="B23" i="4"/>
  <c r="B10" i="4"/>
  <c r="B11" i="4" s="1"/>
  <c r="C11" i="9" s="1"/>
  <c r="D6" i="9"/>
  <c r="E6" i="9" s="1"/>
  <c r="C9" i="9"/>
  <c r="B24" i="4"/>
  <c r="D25" i="6"/>
  <c r="B27" i="4"/>
  <c r="B13" i="4"/>
  <c r="B26" i="4" s="1"/>
  <c r="E7" i="9"/>
  <c r="E5" i="9" l="1"/>
  <c r="D30" i="6"/>
  <c r="C13" i="9" s="1"/>
  <c r="F28" i="5"/>
  <c r="G27" i="5"/>
  <c r="F27" i="5"/>
  <c r="D4" i="9"/>
  <c r="E4" i="9" s="1"/>
  <c r="B29" i="4"/>
  <c r="B28" i="4"/>
  <c r="E9" i="9"/>
  <c r="D9" i="9"/>
  <c r="D13" i="5"/>
  <c r="D26" i="5"/>
  <c r="I26" i="5" s="1"/>
  <c r="C26" i="5"/>
  <c r="H26" i="5" s="1"/>
  <c r="E26" i="5"/>
  <c r="J26" i="5" s="1"/>
  <c r="B26" i="5"/>
  <c r="D11" i="9"/>
  <c r="E11" i="9"/>
  <c r="D10" i="9"/>
  <c r="E10" i="9" s="1"/>
  <c r="D13" i="9"/>
  <c r="E13" i="9" s="1"/>
  <c r="D31" i="6"/>
  <c r="G26" i="5" l="1"/>
  <c r="F30" i="5" s="1"/>
  <c r="F26" i="5"/>
  <c r="F29" i="5" s="1"/>
</calcChain>
</file>

<file path=xl/sharedStrings.xml><?xml version="1.0" encoding="utf-8"?>
<sst xmlns="http://schemas.openxmlformats.org/spreadsheetml/2006/main" count="373" uniqueCount="295">
  <si>
    <t>Kalasu Home Appliances Private Limited: investor reporting workbook</t>
  </si>
  <si>
    <t>Investor Updates, Board Packs and the Data Room, Dissent Advisory. Fictional company; every figure is constructed for teaching. ₹ Cr unless a row says otherwise.</t>
  </si>
  <si>
    <t>How to use</t>
  </si>
  <si>
    <t>1</t>
  </si>
  <si>
    <t>Work alongside the course. Each worked example names the sheet it draws on.</t>
  </si>
  <si>
    <t>2</t>
  </si>
  <si>
    <t>Change a blue input or a yellow choice and the checks recalculate: the update against the SHA, the meeting against the Act and SS-1, the KPIs across four documents, the data room and the tracker.</t>
  </si>
  <si>
    <t>3</t>
  </si>
  <si>
    <t>Compare the results with 08_Answer_Check. It flags any figure that differs from the course by more than its tolerance.</t>
  </si>
  <si>
    <t>Colour legend</t>
  </si>
  <si>
    <t>Blue text</t>
  </si>
  <si>
    <t>Typed inputs from the case, or carried from the Budget, Burn and Runway workbook.</t>
  </si>
  <si>
    <t>Black text</t>
  </si>
  <si>
    <t>Formulas.</t>
  </si>
  <si>
    <t>Green text</t>
  </si>
  <si>
    <t>Links to another sheet.</t>
  </si>
  <si>
    <t>Yellow fill</t>
  </si>
  <si>
    <t>Choices the course invites you to change.</t>
  </si>
  <si>
    <t>Sheets</t>
  </si>
  <si>
    <t>01_Case</t>
  </si>
  <si>
    <t>Company facts, the SHA’s information rights and the board</t>
  </si>
  <si>
    <t>02_Update</t>
  </si>
  <si>
    <t>Q1 from the MIS and the June update checked against the SHA</t>
  </si>
  <si>
    <t>03_Board_Pack</t>
  </si>
  <si>
    <t>The 5 August meeting: notice, papers, quorum and minutes dates</t>
  </si>
  <si>
    <t>04_KPI_Recon</t>
  </si>
  <si>
    <t>Q1 KPIs under each definition, reconciled across four documents</t>
  </si>
  <si>
    <t>05_Data_Room</t>
  </si>
  <si>
    <t>The first-round index and readiness by section</t>
  </si>
  <si>
    <t>06_QA_Tracker</t>
  </si>
  <si>
    <t>Five diligence answers checked against the room</t>
  </si>
  <si>
    <t>07_Spec</t>
  </si>
  <si>
    <t>The KPI dictionary extract and the specification for an AI tool</t>
  </si>
  <si>
    <t>08_Answer_Check</t>
  </si>
  <si>
    <t>Your figures against the course</t>
  </si>
  <si>
    <t>Case facts, the SHA's information rights and the board</t>
  </si>
  <si>
    <t>Kalasu Home Appliances Private Limited, Bengaluru. Q1 FY27 runs from 1 April to 30 June 2026.</t>
  </si>
  <si>
    <t>Fact</t>
  </si>
  <si>
    <t>Value</t>
  </si>
  <si>
    <t>Product</t>
  </si>
  <si>
    <t>Small kitchen appliances, GST at 18%</t>
  </si>
  <si>
    <t>GMV the founders quote, FY26</t>
  </si>
  <si>
    <t>₹49.12 Cr</t>
  </si>
  <si>
    <t>Net revenue, FY26</t>
  </si>
  <si>
    <t>₹30.00 Cr: website 40%, marketplaces 45%, quick commerce 15%</t>
  </si>
  <si>
    <t>Contribution after marketing (CM3)</t>
  </si>
  <si>
    <t>₹3.39 Cr (11.3%)</t>
  </si>
  <si>
    <t>EBITDA, FY26</t>
  </si>
  <si>
    <t>Loss of ₹4.53 Cr</t>
  </si>
  <si>
    <t>Series A, April 2025</t>
  </si>
  <si>
    <t>₹40.00 Cr from a domestic Category II AIF</t>
  </si>
  <si>
    <t>Cash and investments, 31 March 2026</t>
  </si>
  <si>
    <t>₹32.59 Cr</t>
  </si>
  <si>
    <t>Framework and tax</t>
  </si>
  <si>
    <t>Accounting Standards; Section 115BAA, now Section 200, 25.168%</t>
  </si>
  <si>
    <t>Headcount</t>
  </si>
  <si>
    <t>50, all in Bengaluru</t>
  </si>
  <si>
    <t>The SHA and the board</t>
  </si>
  <si>
    <t>Monthly MIS and update</t>
  </si>
  <si>
    <t>Within 21 days of each month's end: P&amp;L against budget, cash and runway, KPIs from the dictionary, headcount, material events.</t>
  </si>
  <si>
    <t>Material events</t>
  </si>
  <si>
    <t>Within 7 days: a dispute or statutory notice, a covenant breach, a key departure, a full-year deviation above 15%.</t>
  </si>
  <si>
    <t>Board meetings</t>
  </si>
  <si>
    <t>Within 45 days of each quarter's end; the investor director must be present for quorum.</t>
  </si>
  <si>
    <t>Reserved matters</t>
  </si>
  <si>
    <t>The annual budget and any full-year deviation above 15%; new securities and ESOP grants; related party transactions; debt above ₹2 Cr.</t>
  </si>
  <si>
    <t>Board</t>
  </si>
  <si>
    <t>Three directors: two founders and the investor director. No independent director. A small company under Section 2(85).</t>
  </si>
  <si>
    <t>Readings the course takes</t>
  </si>
  <si>
    <t>Notice of seven days counts back from the meeting date (Section 173(3); SS-1 paragraphs 1.3.6 and 1.3.7), two more by speed post or registered post.</t>
  </si>
  <si>
    <t>Q1 from the MIS, and the June update against the SHA</t>
  </si>
  <si>
    <t>Inputs in blue; yellow cells are the choices in Chapter I. ₹ Cr unless stated.</t>
  </si>
  <si>
    <t>Q1 FY27</t>
  </si>
  <si>
    <t>Website</t>
  </si>
  <si>
    <t>Marketplaces</t>
  </si>
  <si>
    <t>Quick commerce</t>
  </si>
  <si>
    <t>Total</t>
  </si>
  <si>
    <t>Kept orders or units</t>
  </si>
  <si>
    <t>Revenue per kept order, ₹</t>
  </si>
  <si>
    <t>Revenue under AS 9</t>
  </si>
  <si>
    <t>Budget revenue, Q1</t>
  </si>
  <si>
    <t>Revenue against budget</t>
  </si>
  <si>
    <t>Revenue against budget, %</t>
  </si>
  <si>
    <t>CM3, Q1</t>
  </si>
  <si>
    <t>Budget CM3, Q1</t>
  </si>
  <si>
    <t>CM3 against budget</t>
  </si>
  <si>
    <t>Website acquisition spend, ₹ Cr</t>
  </si>
  <si>
    <t>New website customers attributed to a paid click within 7 days</t>
  </si>
  <si>
    <t>Paid CAC, ₹</t>
  </si>
  <si>
    <t>CAC trigger the board set, ₹</t>
  </si>
  <si>
    <t>Paid CAC past the trigger</t>
  </si>
  <si>
    <t>Liquidity at 30 June 2026, from the thirteen weeks of actuals</t>
  </si>
  <si>
    <t>Board floor for liquidity</t>
  </si>
  <si>
    <t>Against the floor</t>
  </si>
  <si>
    <t>Fixed deposits</t>
  </si>
  <si>
    <t>Cash and investments at 30 June 2026</t>
  </si>
  <si>
    <t>Reforecast FY27 EBITDA</t>
  </si>
  <si>
    <t>Budget FY27 EBITDA</t>
  </si>
  <si>
    <t>Reforecast deviation from budget EBITDA</t>
  </si>
  <si>
    <t>SHA trigger for a reserved matter</t>
  </si>
  <si>
    <t>Reserved matter</t>
  </si>
  <si>
    <t>Runway on the downside, cash burn, months</t>
  </si>
  <si>
    <t>The June update</t>
  </si>
  <si>
    <t>Included, 1 or 0</t>
  </si>
  <si>
    <t>P&amp;L against budget, June and Q1</t>
  </si>
  <si>
    <t>Cash, liquidity against the floor, and runway on cash burn</t>
  </si>
  <si>
    <t>KPIs from the dictionary, with its version</t>
  </si>
  <si>
    <t>Headcount and hires against the plan</t>
  </si>
  <si>
    <t>Material events: the floor, the CAC trigger, the Section 16 interest</t>
  </si>
  <si>
    <t>The reforecast and the reserved matter it triggers</t>
  </si>
  <si>
    <t>Required items present</t>
  </si>
  <si>
    <t>Month end</t>
  </si>
  <si>
    <t>Days the SHA allows</t>
  </si>
  <si>
    <t>Due date</t>
  </si>
  <si>
    <t>Day of July the update is sent</t>
  </si>
  <si>
    <t>Days to spare</t>
  </si>
  <si>
    <t>Bad news in the first paragraph, 1 or 0</t>
  </si>
  <si>
    <t>Headline revenue on the MIS definition, 1 or 0</t>
  </si>
  <si>
    <t>Checks passed, of nine</t>
  </si>
  <si>
    <t>The Q1 board meeting on 5 August 2026</t>
  </si>
  <si>
    <t>Section 173(3) and SS-1 paragraphs 1.3.6 and 1.3.7 for notice and papers; Section 174(1) and the SHA for quorum; SS-1 paragraphs 7.4 and 7.5.1 for minutes.</t>
  </si>
  <si>
    <t>Meeting date</t>
  </si>
  <si>
    <t>Previous meeting</t>
  </si>
  <si>
    <t>Days of notice required</t>
  </si>
  <si>
    <t>Extra days by speed post or registered post</t>
  </si>
  <si>
    <t>Notice and papers sent by (E-mail or Post)</t>
  </si>
  <si>
    <t>E-mail</t>
  </si>
  <si>
    <t>Days required for this delivery</t>
  </si>
  <si>
    <t>Last day for notice</t>
  </si>
  <si>
    <t>Last day for notice, day of July</t>
  </si>
  <si>
    <t>Notice sent, days before the meeting</t>
  </si>
  <si>
    <t>Notice check</t>
  </si>
  <si>
    <t>Agenda, notes and papers sent, days before the meeting</t>
  </si>
  <si>
    <t>Papers check</t>
  </si>
  <si>
    <t>Directors on the board</t>
  </si>
  <si>
    <t>Directors present, in person or by video conference</t>
  </si>
  <si>
    <t>Investor director present (Yes or No)</t>
  </si>
  <si>
    <t>Yes</t>
  </si>
  <si>
    <t>Statutory quorum: one-third, or two, whichever is higher</t>
  </si>
  <si>
    <t>Quorum under the Act</t>
  </si>
  <si>
    <t>Quorum under the SHA</t>
  </si>
  <si>
    <t>Draft minutes circulated, days after the meeting</t>
  </si>
  <si>
    <t>Draft minutes due</t>
  </si>
  <si>
    <t>Minutes entered by</t>
  </si>
  <si>
    <t>Minutes check</t>
  </si>
  <si>
    <t>Checks passed, of five</t>
  </si>
  <si>
    <t>Days since the previous meeting</t>
  </si>
  <si>
    <t>Section 173(5), small company: at least 90 days apart, one in each half-year</t>
  </si>
  <si>
    <t>Section 173(1), if Kalasu were not small: no more than 120 days</t>
  </si>
  <si>
    <t>SHA: within 45 days of the quarter end</t>
  </si>
  <si>
    <t>The dictionary, version 2.1, names one definition per KPI. Choose the definition each document uses in the yellow cells.</t>
  </si>
  <si>
    <t>GMV drivers</t>
  </si>
  <si>
    <t>Orders placed per kept order</t>
  </si>
  <si>
    <t>List price before discount, ₹, GST excluded</t>
  </si>
  <si>
    <t>GST rate</t>
  </si>
  <si>
    <t>Platform sell-through, FY26: units, consumer price with GST, units invoiced</t>
  </si>
  <si>
    <t>GMV per kept order or invoiced unit, ₹</t>
  </si>
  <si>
    <t>Q1 kept orders or units</t>
  </si>
  <si>
    <t>KPI, Q1 FY27</t>
  </si>
  <si>
    <t>Dictionary</t>
  </si>
  <si>
    <t>Alternative 1</t>
  </si>
  <si>
    <t>Alternative 2</t>
  </si>
  <si>
    <t>Definition code</t>
  </si>
  <si>
    <t>Net</t>
  </si>
  <si>
    <t>GMV</t>
  </si>
  <si>
    <t>Gross</t>
  </si>
  <si>
    <t>Revenue, ₹ Cr</t>
  </si>
  <si>
    <t>Paid</t>
  </si>
  <si>
    <t>Blended</t>
  </si>
  <si>
    <t>CAC, ₹</t>
  </si>
  <si>
    <t>New website customers, all</t>
  </si>
  <si>
    <t>Liquidity</t>
  </si>
  <si>
    <t>With deposits</t>
  </si>
  <si>
    <t>Cash at 30 June, ₹ Cr</t>
  </si>
  <si>
    <t>Definition used</t>
  </si>
  <si>
    <t>MIS</t>
  </si>
  <si>
    <t>June update</t>
  </si>
  <si>
    <t>Board pack</t>
  </si>
  <si>
    <t>Data room</t>
  </si>
  <si>
    <t>Revenue</t>
  </si>
  <si>
    <t>CAC</t>
  </si>
  <si>
    <t>Cash</t>
  </si>
  <si>
    <t>Value in each document</t>
  </si>
  <si>
    <t>Differs from the dictionary</t>
  </si>
  <si>
    <t>Drift, MIS</t>
  </si>
  <si>
    <t>Drift, update</t>
  </si>
  <si>
    <t>Drift, pack</t>
  </si>
  <si>
    <t>Drift, room</t>
  </si>
  <si>
    <t>Cells that differ from the dictionary</t>
  </si>
  <si>
    <t>Largest drift, %</t>
  </si>
  <si>
    <t>The first-round data room index</t>
  </si>
  <si>
    <t>Status: Ready, Missing, or In full for a register holding personal data. Only Ready counts. The first cut, August 2026, is shown.</t>
  </si>
  <si>
    <t>Section</t>
  </si>
  <si>
    <t>Document</t>
  </si>
  <si>
    <t>Status</t>
  </si>
  <si>
    <t>Ready</t>
  </si>
  <si>
    <t>Secretarial</t>
  </si>
  <si>
    <t>Incorporation documents, and the articles as amended for the Series A</t>
  </si>
  <si>
    <t>Registers of members, of directors and key managerial personnel, and of charges</t>
  </si>
  <si>
    <t>Board and general meeting minutes, signed and entered</t>
  </si>
  <si>
    <t>Series A: special resolution and MGT-14, valuation report, PAS-3</t>
  </si>
  <si>
    <t>Annual returns and financial statements filed with the Registrar</t>
  </si>
  <si>
    <t>MSME Form I returns, half-yearly</t>
  </si>
  <si>
    <t>Financial</t>
  </si>
  <si>
    <t>Audited accounts, FY24 to FY26, with the auditor’s reports</t>
  </si>
  <si>
    <t>Monthly MIS for FY27, tied to the books</t>
  </si>
  <si>
    <t>KPI dictionary and change log</t>
  </si>
  <si>
    <t>FY27 plan, reforecast and thirteen-week forecast</t>
  </si>
  <si>
    <t>Tax</t>
  </si>
  <si>
    <t>GST returns reconciled to the books, by GSTIN</t>
  </si>
  <si>
    <t>Missing</t>
  </si>
  <si>
    <t>TDS returns, and marketplace TCS and TDS reconciled to the credits</t>
  </si>
  <si>
    <t>Income-tax returns and any notices</t>
  </si>
  <si>
    <t>Legal and commercial</t>
  </si>
  <si>
    <t>Marketplace, quick commerce and manufacturing agreements</t>
  </si>
  <si>
    <t>Trademark applications and the search report</t>
  </si>
  <si>
    <t>Office lease and warehouse service agreements</t>
  </si>
  <si>
    <t>People</t>
  </si>
  <si>
    <t>Headcount and payroll summary, personal fields removed</t>
  </si>
  <si>
    <t>In full</t>
  </si>
  <si>
    <t>PF, ESI and professional tax registrations and challans</t>
  </si>
  <si>
    <t>ESOP scheme and grant register</t>
  </si>
  <si>
    <t>Readiness by section</t>
  </si>
  <si>
    <t>Documents</t>
  </si>
  <si>
    <t>Readiness</t>
  </si>
  <si>
    <t>All sections</t>
  </si>
  <si>
    <t>Red items</t>
  </si>
  <si>
    <t>Choose the basis of each draft answer in the yellow cells. An answer is consistent when its basis is the dictionary's.</t>
  </si>
  <si>
    <t>No.</t>
  </si>
  <si>
    <t>Question</t>
  </si>
  <si>
    <t>Draft basis</t>
  </si>
  <si>
    <t>Draft answer</t>
  </si>
  <si>
    <t>Dictionary basis</t>
  </si>
  <si>
    <t>Consistent</t>
  </si>
  <si>
    <t>Moves the price</t>
  </si>
  <si>
    <t>Escalated</t>
  </si>
  <si>
    <t>Q-07</t>
  </si>
  <si>
    <t>Q1 revenue by channel</t>
  </si>
  <si>
    <t>mis</t>
  </si>
  <si>
    <t>No</t>
  </si>
  <si>
    <t>Q-12</t>
  </si>
  <si>
    <t>paid CAC and payback</t>
  </si>
  <si>
    <t>dictionary</t>
  </si>
  <si>
    <t>Q-15</t>
  </si>
  <si>
    <t>runway</t>
  </si>
  <si>
    <t>cash</t>
  </si>
  <si>
    <t>Q-21</t>
  </si>
  <si>
    <t>payments to small enterprises beyond 45 days</t>
  </si>
  <si>
    <t>disclosed</t>
  </si>
  <si>
    <t>Q-24</t>
  </si>
  <si>
    <t>why Q1 CM3 missed</t>
  </si>
  <si>
    <t>bridge</t>
  </si>
  <si>
    <t>Escalation rule (Price-moving, Nothing, Every answer)</t>
  </si>
  <si>
    <t>Price-moving</t>
  </si>
  <si>
    <t>Answers consistent with the room</t>
  </si>
  <si>
    <t>Answers escalated before sending</t>
  </si>
  <si>
    <t>From Chapters III and V. Paste the specification into an AI tool with this workbook attached.</t>
  </si>
  <si>
    <t>KPI</t>
  </si>
  <si>
    <t>Definition</t>
  </si>
  <si>
    <t>Not to be confused with</t>
  </si>
  <si>
    <t>Net revenue</t>
  </si>
  <si>
    <t>Invoice value of kept orders, after discounts and returns, GST excluded, under AS 9</t>
  </si>
  <si>
    <t>GMV; invoice value with GST</t>
  </si>
  <si>
    <t>Paid CAC, website</t>
  </si>
  <si>
    <t>Acquisition spend ÷ new customers attributed to a paid click within 7 days</t>
  </si>
  <si>
    <t>Blended CAC on all new website customers</t>
  </si>
  <si>
    <t>Current accounts and liquid funds</t>
  </si>
  <si>
    <t>Cash and investments with the fixed deposits</t>
  </si>
  <si>
    <t>Runway</t>
  </si>
  <si>
    <t>Months from April 2026 until cash and investments fall below ₹5.00 Cr, on cash burn, under a named scenario</t>
  </si>
  <si>
    <t>Runway on EBITDA burn</t>
  </si>
  <si>
    <t>Specification for an AI tool</t>
  </si>
  <si>
    <t>Update</t>
  </si>
  <si>
    <t>Draft the June update from 02_Update: bad news first, the six items the SHA requires, revenue under AS 9, both cash figures labelled.</t>
  </si>
  <si>
    <t>From 03_Board_Pack, state the last day for notice by e-mail and by post, both quorums and the minutes dates for 5 August 2026.</t>
  </si>
  <si>
    <t>KPIs</t>
  </si>
  <si>
    <t>From 04_KPI_Recon, reconcile the three KPIs across the four documents and name the definition behind every difference.</t>
  </si>
  <si>
    <t>Room and Q&amp;A</t>
  </si>
  <si>
    <t>From 05_Data_Room and 06_QA_Tracker, list the red items and the answers that contradict the room, and which answers go to the partner.</t>
  </si>
  <si>
    <t>Answer check</t>
  </si>
  <si>
    <t>Course figures against this workbook's formulas. A status of Agrees means the difference is within the tolerance.</t>
  </si>
  <si>
    <t>Figure</t>
  </si>
  <si>
    <t>Course figure</t>
  </si>
  <si>
    <t>This workbook</t>
  </si>
  <si>
    <t>Difference</t>
  </si>
  <si>
    <t>Tolerance</t>
  </si>
  <si>
    <t>Q1 revenue under AS 9</t>
  </si>
  <si>
    <t>Q1 GMV</t>
  </si>
  <si>
    <t>Q1 paid CAC</t>
  </si>
  <si>
    <t>Q1 blended CAC</t>
  </si>
  <si>
    <t>June update due, day of July</t>
  </si>
  <si>
    <t>Last day for notice by e-mail, day of July</t>
  </si>
  <si>
    <t>Statutory quorum</t>
  </si>
  <si>
    <t>Data room readiness, first cut</t>
  </si>
  <si>
    <t>Q&amp;A answers consistent at the defaults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</si>
</sst>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;&quot;-&quot;"/>
    <numFmt numFmtId="165" formatCode="#,##0.00;\(#,##0.00\);&quot;-&quot;"/>
    <numFmt numFmtId="166" formatCode="0.0%;\(0.0%\);&quot;-&quot;"/>
    <numFmt numFmtId="167" formatCode="dd\ mmm\ yyyy"/>
    <numFmt numFmtId="168" formatCode="0.0000"/>
  </numFmts>
  <fonts count="7" x14ac:knownFonts="1">
    <font>
      <sz val="11"/>
      <color theme="1"/>
      <name val="Calibri"/>
      <family val="2"/>
      <scheme val="minor"/>
    </font>
    <font>
      <b/>
      <sz val="14"/>
      <color rgb="FFF3F4F5"/>
      <name val="Arial"/>
    </font>
    <font>
      <sz val="9"/>
      <color rgb="FF41627D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FF"/>
      <name val="Arial"/>
    </font>
    <font>
      <sz val="10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C0C0F"/>
      </patternFill>
    </fill>
    <fill>
      <patternFill patternType="solid">
        <fgColor rgb="FFFFFF00"/>
      </patternFill>
    </fill>
    <fill>
      <patternFill patternType="solid">
        <fgColor rgb="FFEAEB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4" fontId="5" fillId="3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0" fontId="5" fillId="3" borderId="0" xfId="0" applyFont="1" applyFill="1" applyAlignment="1">
      <alignment horizontal="right"/>
    </xf>
    <xf numFmtId="168" fontId="5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66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/>
  </sheetViews>
  <sheetFormatPr defaultRowHeight="14.5" x14ac:dyDescent="0.35"/>
  <cols>
    <col min="1" max="1" width="18" customWidth="1"/>
    <col min="2" max="2" width="110" customWidth="1"/>
  </cols>
  <sheetData>
    <row r="1" spans="1:2" ht="24" customHeight="1" x14ac:dyDescent="0.4">
      <c r="A1" s="1" t="s">
        <v>0</v>
      </c>
      <c r="B1" s="2"/>
    </row>
    <row r="2" spans="1:2" x14ac:dyDescent="0.35">
      <c r="A2" s="3" t="s">
        <v>1</v>
      </c>
    </row>
    <row r="4" spans="1:2" x14ac:dyDescent="0.35">
      <c r="A4" s="4" t="s">
        <v>2</v>
      </c>
    </row>
    <row r="5" spans="1:2" x14ac:dyDescent="0.35">
      <c r="A5" s="5" t="s">
        <v>3</v>
      </c>
      <c r="B5" s="5" t="s">
        <v>4</v>
      </c>
    </row>
    <row r="6" spans="1:2" ht="25" x14ac:dyDescent="0.35">
      <c r="A6" s="5" t="s">
        <v>5</v>
      </c>
      <c r="B6" s="5" t="s">
        <v>6</v>
      </c>
    </row>
    <row r="7" spans="1:2" x14ac:dyDescent="0.35">
      <c r="A7" s="5" t="s">
        <v>7</v>
      </c>
      <c r="B7" s="5" t="s">
        <v>8</v>
      </c>
    </row>
    <row r="9" spans="1:2" x14ac:dyDescent="0.35">
      <c r="A9" s="4" t="s">
        <v>9</v>
      </c>
    </row>
    <row r="10" spans="1:2" x14ac:dyDescent="0.35">
      <c r="A10" s="6" t="s">
        <v>10</v>
      </c>
      <c r="B10" s="5" t="s">
        <v>11</v>
      </c>
    </row>
    <row r="11" spans="1:2" x14ac:dyDescent="0.35">
      <c r="A11" s="5" t="s">
        <v>12</v>
      </c>
      <c r="B11" s="5" t="s">
        <v>13</v>
      </c>
    </row>
    <row r="12" spans="1:2" x14ac:dyDescent="0.35">
      <c r="A12" s="7" t="s">
        <v>14</v>
      </c>
      <c r="B12" s="5" t="s">
        <v>15</v>
      </c>
    </row>
    <row r="13" spans="1:2" x14ac:dyDescent="0.35">
      <c r="A13" s="8" t="s">
        <v>16</v>
      </c>
      <c r="B13" s="5" t="s">
        <v>17</v>
      </c>
    </row>
    <row r="15" spans="1:2" x14ac:dyDescent="0.35">
      <c r="A15" s="4" t="s">
        <v>18</v>
      </c>
    </row>
    <row r="16" spans="1:2" x14ac:dyDescent="0.35">
      <c r="A16" s="5" t="s">
        <v>19</v>
      </c>
      <c r="B16" s="5" t="s">
        <v>20</v>
      </c>
    </row>
    <row r="17" spans="1:2" x14ac:dyDescent="0.35">
      <c r="A17" s="5" t="s">
        <v>21</v>
      </c>
      <c r="B17" s="5" t="s">
        <v>22</v>
      </c>
    </row>
    <row r="18" spans="1:2" x14ac:dyDescent="0.35">
      <c r="A18" s="5" t="s">
        <v>23</v>
      </c>
      <c r="B18" s="5" t="s">
        <v>24</v>
      </c>
    </row>
    <row r="19" spans="1:2" x14ac:dyDescent="0.35">
      <c r="A19" s="5" t="s">
        <v>25</v>
      </c>
      <c r="B19" s="5" t="s">
        <v>26</v>
      </c>
    </row>
    <row r="20" spans="1:2" x14ac:dyDescent="0.35">
      <c r="A20" s="5" t="s">
        <v>27</v>
      </c>
      <c r="B20" s="5" t="s">
        <v>28</v>
      </c>
    </row>
    <row r="21" spans="1:2" x14ac:dyDescent="0.35">
      <c r="A21" s="5" t="s">
        <v>29</v>
      </c>
      <c r="B21" s="5" t="s">
        <v>30</v>
      </c>
    </row>
    <row r="22" spans="1:2" x14ac:dyDescent="0.35">
      <c r="A22" s="5" t="s">
        <v>31</v>
      </c>
      <c r="B22" s="5" t="s">
        <v>32</v>
      </c>
    </row>
    <row r="23" spans="1:2" x14ac:dyDescent="0.35">
      <c r="A23" s="5" t="s">
        <v>33</v>
      </c>
      <c r="B23" s="5" t="s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/>
  </sheetViews>
  <sheetFormatPr defaultRowHeight="14.5" x14ac:dyDescent="0.35"/>
  <cols>
    <col min="1" max="1" width="34" customWidth="1"/>
    <col min="2" max="2" width="110" customWidth="1"/>
  </cols>
  <sheetData>
    <row r="1" spans="1:2" ht="24" customHeight="1" x14ac:dyDescent="0.4">
      <c r="A1" s="1" t="s">
        <v>35</v>
      </c>
      <c r="B1" s="2"/>
    </row>
    <row r="2" spans="1:2" x14ac:dyDescent="0.35">
      <c r="A2" s="3" t="s">
        <v>36</v>
      </c>
    </row>
    <row r="3" spans="1:2" x14ac:dyDescent="0.35">
      <c r="A3" s="9" t="s">
        <v>37</v>
      </c>
      <c r="B3" s="10" t="s">
        <v>38</v>
      </c>
    </row>
    <row r="4" spans="1:2" x14ac:dyDescent="0.35">
      <c r="A4" s="5" t="s">
        <v>39</v>
      </c>
      <c r="B4" s="5" t="s">
        <v>40</v>
      </c>
    </row>
    <row r="5" spans="1:2" x14ac:dyDescent="0.35">
      <c r="A5" s="5" t="s">
        <v>41</v>
      </c>
      <c r="B5" s="5" t="s">
        <v>42</v>
      </c>
    </row>
    <row r="6" spans="1:2" x14ac:dyDescent="0.35">
      <c r="A6" s="5" t="s">
        <v>43</v>
      </c>
      <c r="B6" s="5" t="s">
        <v>44</v>
      </c>
    </row>
    <row r="7" spans="1:2" x14ac:dyDescent="0.35">
      <c r="A7" s="5" t="s">
        <v>45</v>
      </c>
      <c r="B7" s="5" t="s">
        <v>46</v>
      </c>
    </row>
    <row r="8" spans="1:2" x14ac:dyDescent="0.35">
      <c r="A8" s="5" t="s">
        <v>47</v>
      </c>
      <c r="B8" s="5" t="s">
        <v>48</v>
      </c>
    </row>
    <row r="9" spans="1:2" x14ac:dyDescent="0.35">
      <c r="A9" s="5" t="s">
        <v>49</v>
      </c>
      <c r="B9" s="5" t="s">
        <v>50</v>
      </c>
    </row>
    <row r="10" spans="1:2" x14ac:dyDescent="0.35">
      <c r="A10" s="5" t="s">
        <v>51</v>
      </c>
      <c r="B10" s="5" t="s">
        <v>52</v>
      </c>
    </row>
    <row r="11" spans="1:2" x14ac:dyDescent="0.35">
      <c r="A11" s="5" t="s">
        <v>53</v>
      </c>
      <c r="B11" s="5" t="s">
        <v>54</v>
      </c>
    </row>
    <row r="12" spans="1:2" x14ac:dyDescent="0.35">
      <c r="A12" s="5" t="s">
        <v>55</v>
      </c>
      <c r="B12" s="5" t="s">
        <v>56</v>
      </c>
    </row>
    <row r="14" spans="1:2" x14ac:dyDescent="0.35">
      <c r="A14" s="4" t="s">
        <v>57</v>
      </c>
    </row>
    <row r="15" spans="1:2" x14ac:dyDescent="0.35">
      <c r="A15" s="11" t="s">
        <v>58</v>
      </c>
      <c r="B15" s="5" t="s">
        <v>59</v>
      </c>
    </row>
    <row r="16" spans="1:2" x14ac:dyDescent="0.35">
      <c r="A16" s="11" t="s">
        <v>60</v>
      </c>
      <c r="B16" s="5" t="s">
        <v>61</v>
      </c>
    </row>
    <row r="17" spans="1:2" x14ac:dyDescent="0.35">
      <c r="A17" s="11" t="s">
        <v>62</v>
      </c>
      <c r="B17" s="5" t="s">
        <v>63</v>
      </c>
    </row>
    <row r="18" spans="1:2" ht="25" x14ac:dyDescent="0.35">
      <c r="A18" s="11" t="s">
        <v>64</v>
      </c>
      <c r="B18" s="5" t="s">
        <v>65</v>
      </c>
    </row>
    <row r="19" spans="1:2" x14ac:dyDescent="0.35">
      <c r="A19" s="11" t="s">
        <v>66</v>
      </c>
      <c r="B19" s="5" t="s">
        <v>67</v>
      </c>
    </row>
    <row r="20" spans="1:2" ht="25" x14ac:dyDescent="0.35">
      <c r="A20" s="11" t="s">
        <v>68</v>
      </c>
      <c r="B20" s="5" t="s">
        <v>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workbookViewId="0"/>
  </sheetViews>
  <sheetFormatPr defaultRowHeight="14.5" x14ac:dyDescent="0.35"/>
  <cols>
    <col min="1" max="1" width="58" customWidth="1"/>
    <col min="2" max="3" width="14" customWidth="1"/>
    <col min="4" max="4" width="16" customWidth="1"/>
    <col min="5" max="5" width="12" customWidth="1"/>
  </cols>
  <sheetData>
    <row r="1" spans="1:5" ht="24" customHeight="1" x14ac:dyDescent="0.4">
      <c r="A1" s="1" t="s">
        <v>70</v>
      </c>
      <c r="B1" s="2"/>
      <c r="C1" s="2"/>
      <c r="D1" s="2"/>
      <c r="E1" s="2"/>
    </row>
    <row r="2" spans="1:5" x14ac:dyDescent="0.35">
      <c r="A2" s="3" t="s">
        <v>71</v>
      </c>
    </row>
    <row r="3" spans="1:5" x14ac:dyDescent="0.35">
      <c r="A3" s="9" t="s">
        <v>72</v>
      </c>
      <c r="B3" s="10" t="s">
        <v>73</v>
      </c>
      <c r="C3" s="10" t="s">
        <v>74</v>
      </c>
      <c r="D3" s="10" t="s">
        <v>75</v>
      </c>
      <c r="E3" s="10" t="s">
        <v>76</v>
      </c>
    </row>
    <row r="4" spans="1:5" x14ac:dyDescent="0.35">
      <c r="A4" s="5" t="s">
        <v>77</v>
      </c>
      <c r="B4" s="12">
        <v>14400</v>
      </c>
      <c r="C4" s="12">
        <v>24600</v>
      </c>
      <c r="D4" s="12">
        <v>11700</v>
      </c>
      <c r="E4" s="13">
        <f>SUM(B4:D4)</f>
        <v>50700</v>
      </c>
    </row>
    <row r="5" spans="1:5" x14ac:dyDescent="0.35">
      <c r="A5" s="5" t="s">
        <v>78</v>
      </c>
      <c r="B5" s="14">
        <v>2400</v>
      </c>
      <c r="C5" s="14">
        <v>2212.5</v>
      </c>
      <c r="D5" s="14">
        <v>1800</v>
      </c>
    </row>
    <row r="6" spans="1:5" x14ac:dyDescent="0.35">
      <c r="A6" s="5" t="s">
        <v>79</v>
      </c>
      <c r="B6" s="15">
        <f>B4*B5/10000000</f>
        <v>3.456</v>
      </c>
      <c r="C6" s="15">
        <f>C4*C5/10000000</f>
        <v>5.4427500000000002</v>
      </c>
      <c r="D6" s="15">
        <f>D4*D5/10000000</f>
        <v>2.1059999999999999</v>
      </c>
      <c r="E6" s="16">
        <f>SUM(B6:D6)</f>
        <v>11.00475</v>
      </c>
    </row>
    <row r="8" spans="1:5" x14ac:dyDescent="0.35">
      <c r="A8" s="5" t="s">
        <v>80</v>
      </c>
      <c r="B8" s="17">
        <v>10.2895</v>
      </c>
    </row>
    <row r="9" spans="1:5" x14ac:dyDescent="0.35">
      <c r="A9" s="5" t="s">
        <v>81</v>
      </c>
      <c r="B9" s="15">
        <f>E6-B8</f>
        <v>0.71524999999999928</v>
      </c>
    </row>
    <row r="10" spans="1:5" x14ac:dyDescent="0.35">
      <c r="A10" s="5" t="s">
        <v>82</v>
      </c>
      <c r="B10" s="18">
        <f>E6/B8-1</f>
        <v>6.9512609942173897E-2</v>
      </c>
    </row>
    <row r="11" spans="1:5" x14ac:dyDescent="0.35">
      <c r="A11" s="5" t="s">
        <v>83</v>
      </c>
      <c r="B11" s="17">
        <v>1.0162014300000011</v>
      </c>
    </row>
    <row r="12" spans="1:5" x14ac:dyDescent="0.35">
      <c r="A12" s="5" t="s">
        <v>84</v>
      </c>
      <c r="B12" s="17">
        <v>1.240171326666667</v>
      </c>
    </row>
    <row r="13" spans="1:5" x14ac:dyDescent="0.35">
      <c r="A13" s="5" t="s">
        <v>85</v>
      </c>
      <c r="B13" s="15">
        <f>B11-B12</f>
        <v>-0.22396989666666589</v>
      </c>
    </row>
    <row r="14" spans="1:5" x14ac:dyDescent="0.35">
      <c r="A14" s="5" t="s">
        <v>86</v>
      </c>
      <c r="B14" s="17">
        <v>1.3694999999999999</v>
      </c>
    </row>
    <row r="15" spans="1:5" x14ac:dyDescent="0.35">
      <c r="A15" s="5" t="s">
        <v>87</v>
      </c>
      <c r="B15" s="12">
        <v>8300</v>
      </c>
    </row>
    <row r="16" spans="1:5" x14ac:dyDescent="0.35">
      <c r="A16" s="11" t="s">
        <v>88</v>
      </c>
      <c r="B16" s="19">
        <f>B14*10000000/B15</f>
        <v>1650</v>
      </c>
    </row>
    <row r="17" spans="1:5" x14ac:dyDescent="0.35">
      <c r="A17" s="5" t="s">
        <v>89</v>
      </c>
      <c r="B17" s="12">
        <v>1550</v>
      </c>
    </row>
    <row r="18" spans="1:5" x14ac:dyDescent="0.35">
      <c r="A18" s="5" t="s">
        <v>90</v>
      </c>
      <c r="B18" s="20" t="str">
        <f>IF(B16&gt;B17,"Yes","No")</f>
        <v>Yes</v>
      </c>
    </row>
    <row r="19" spans="1:5" x14ac:dyDescent="0.35">
      <c r="A19" s="5" t="s">
        <v>91</v>
      </c>
      <c r="B19" s="17">
        <v>7.9549674803615273</v>
      </c>
    </row>
    <row r="20" spans="1:5" x14ac:dyDescent="0.35">
      <c r="A20" s="5" t="s">
        <v>92</v>
      </c>
      <c r="B20" s="17">
        <v>8</v>
      </c>
    </row>
    <row r="21" spans="1:5" x14ac:dyDescent="0.35">
      <c r="A21" s="11" t="s">
        <v>93</v>
      </c>
      <c r="B21" s="16">
        <f>B19-B20</f>
        <v>-4.5032519638472657E-2</v>
      </c>
    </row>
    <row r="22" spans="1:5" x14ac:dyDescent="0.35">
      <c r="A22" s="5" t="s">
        <v>94</v>
      </c>
      <c r="B22" s="17">
        <v>20</v>
      </c>
    </row>
    <row r="23" spans="1:5" x14ac:dyDescent="0.35">
      <c r="A23" s="5" t="s">
        <v>95</v>
      </c>
      <c r="B23" s="15">
        <f>B19+B22</f>
        <v>27.954967480361528</v>
      </c>
    </row>
    <row r="24" spans="1:5" x14ac:dyDescent="0.35">
      <c r="A24" s="5" t="s">
        <v>96</v>
      </c>
      <c r="B24" s="17">
        <v>-9.5680690716666632</v>
      </c>
    </row>
    <row r="25" spans="1:5" x14ac:dyDescent="0.35">
      <c r="A25" s="5" t="s">
        <v>97</v>
      </c>
      <c r="B25" s="17">
        <v>-7.9976707999999972</v>
      </c>
    </row>
    <row r="26" spans="1:5" x14ac:dyDescent="0.35">
      <c r="A26" s="11" t="s">
        <v>98</v>
      </c>
      <c r="B26" s="21">
        <f>B24/B25-1</f>
        <v>0.19635695328528224</v>
      </c>
    </row>
    <row r="27" spans="1:5" x14ac:dyDescent="0.35">
      <c r="A27" s="5" t="s">
        <v>99</v>
      </c>
      <c r="B27" s="22">
        <v>0.15</v>
      </c>
    </row>
    <row r="28" spans="1:5" x14ac:dyDescent="0.35">
      <c r="A28" s="5" t="s">
        <v>100</v>
      </c>
      <c r="B28" s="20" t="str">
        <f>IF(ABS(B26)&gt;B27,"Yes","No")</f>
        <v>Yes</v>
      </c>
    </row>
    <row r="29" spans="1:5" x14ac:dyDescent="0.35">
      <c r="A29" s="5" t="s">
        <v>101</v>
      </c>
      <c r="B29" s="12">
        <v>27</v>
      </c>
    </row>
    <row r="31" spans="1:5" ht="26" x14ac:dyDescent="0.35">
      <c r="A31" s="9" t="s">
        <v>102</v>
      </c>
      <c r="B31" s="10" t="s">
        <v>103</v>
      </c>
      <c r="C31" s="10"/>
      <c r="D31" s="10"/>
      <c r="E31" s="10"/>
    </row>
    <row r="32" spans="1:5" x14ac:dyDescent="0.35">
      <c r="A32" s="5" t="s">
        <v>104</v>
      </c>
      <c r="B32" s="23">
        <v>1</v>
      </c>
    </row>
    <row r="33" spans="1:2" x14ac:dyDescent="0.35">
      <c r="A33" s="5" t="s">
        <v>105</v>
      </c>
      <c r="B33" s="23">
        <v>1</v>
      </c>
    </row>
    <row r="34" spans="1:2" x14ac:dyDescent="0.35">
      <c r="A34" s="5" t="s">
        <v>106</v>
      </c>
      <c r="B34" s="23">
        <v>1</v>
      </c>
    </row>
    <row r="35" spans="1:2" x14ac:dyDescent="0.35">
      <c r="A35" s="5" t="s">
        <v>107</v>
      </c>
      <c r="B35" s="23">
        <v>1</v>
      </c>
    </row>
    <row r="36" spans="1:2" x14ac:dyDescent="0.35">
      <c r="A36" s="5" t="s">
        <v>108</v>
      </c>
      <c r="B36" s="23">
        <v>1</v>
      </c>
    </row>
    <row r="37" spans="1:2" x14ac:dyDescent="0.35">
      <c r="A37" s="5" t="s">
        <v>109</v>
      </c>
      <c r="B37" s="23">
        <v>1</v>
      </c>
    </row>
    <row r="38" spans="1:2" x14ac:dyDescent="0.35">
      <c r="A38" s="11" t="s">
        <v>110</v>
      </c>
      <c r="B38" s="19">
        <f>SUM(B32:B37)</f>
        <v>6</v>
      </c>
    </row>
    <row r="39" spans="1:2" x14ac:dyDescent="0.35">
      <c r="A39" s="5" t="s">
        <v>111</v>
      </c>
      <c r="B39" s="24">
        <f>DATE(2026,6,30)</f>
        <v>46203</v>
      </c>
    </row>
    <row r="40" spans="1:2" x14ac:dyDescent="0.35">
      <c r="A40" s="5" t="s">
        <v>112</v>
      </c>
      <c r="B40" s="12">
        <v>21</v>
      </c>
    </row>
    <row r="41" spans="1:2" x14ac:dyDescent="0.35">
      <c r="A41" s="5" t="s">
        <v>113</v>
      </c>
      <c r="B41" s="24">
        <f>B39+B40</f>
        <v>46224</v>
      </c>
    </row>
    <row r="42" spans="1:2" x14ac:dyDescent="0.35">
      <c r="A42" s="5" t="s">
        <v>114</v>
      </c>
      <c r="B42" s="23">
        <v>20</v>
      </c>
    </row>
    <row r="43" spans="1:2" x14ac:dyDescent="0.35">
      <c r="A43" s="11" t="s">
        <v>115</v>
      </c>
      <c r="B43" s="19">
        <f>DAY(B41)-B42</f>
        <v>1</v>
      </c>
    </row>
    <row r="44" spans="1:2" x14ac:dyDescent="0.35">
      <c r="A44" s="5" t="s">
        <v>116</v>
      </c>
      <c r="B44" s="23">
        <v>1</v>
      </c>
    </row>
    <row r="45" spans="1:2" x14ac:dyDescent="0.35">
      <c r="A45" s="5" t="s">
        <v>117</v>
      </c>
      <c r="B45" s="23">
        <v>1</v>
      </c>
    </row>
    <row r="46" spans="1:2" x14ac:dyDescent="0.35">
      <c r="A46" s="11" t="s">
        <v>118</v>
      </c>
      <c r="B46" s="19">
        <f>B38+IF(B43&gt;=0,1,0)+B44+B45</f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/>
  </sheetViews>
  <sheetFormatPr defaultRowHeight="14.5" x14ac:dyDescent="0.35"/>
  <cols>
    <col min="1" max="1" width="70" customWidth="1"/>
    <col min="2" max="2" width="16" customWidth="1"/>
  </cols>
  <sheetData>
    <row r="1" spans="1:3" ht="24" customHeight="1" x14ac:dyDescent="0.4">
      <c r="A1" s="1" t="s">
        <v>119</v>
      </c>
      <c r="B1" s="2"/>
      <c r="C1" s="2"/>
    </row>
    <row r="2" spans="1:3" x14ac:dyDescent="0.35">
      <c r="A2" s="3" t="s">
        <v>120</v>
      </c>
    </row>
    <row r="4" spans="1:3" x14ac:dyDescent="0.35">
      <c r="A4" s="5" t="s">
        <v>121</v>
      </c>
      <c r="B4" s="24">
        <f>DATE(2026,8,5)</f>
        <v>46239</v>
      </c>
    </row>
    <row r="5" spans="1:3" x14ac:dyDescent="0.35">
      <c r="A5" s="5" t="s">
        <v>122</v>
      </c>
      <c r="B5" s="24">
        <f>DATE(2026,3,25)</f>
        <v>46106</v>
      </c>
    </row>
    <row r="6" spans="1:3" x14ac:dyDescent="0.35">
      <c r="A6" s="5" t="s">
        <v>123</v>
      </c>
      <c r="B6" s="12">
        <v>7</v>
      </c>
    </row>
    <row r="7" spans="1:3" x14ac:dyDescent="0.35">
      <c r="A7" s="5" t="s">
        <v>124</v>
      </c>
      <c r="B7" s="12">
        <v>2</v>
      </c>
    </row>
    <row r="8" spans="1:3" x14ac:dyDescent="0.35">
      <c r="A8" s="5" t="s">
        <v>125</v>
      </c>
      <c r="B8" s="25" t="s">
        <v>126</v>
      </c>
    </row>
    <row r="9" spans="1:3" x14ac:dyDescent="0.35">
      <c r="A9" s="5" t="s">
        <v>127</v>
      </c>
      <c r="B9" s="13">
        <f>B6+IF(B8="Post",B7,0)</f>
        <v>7</v>
      </c>
    </row>
    <row r="10" spans="1:3" x14ac:dyDescent="0.35">
      <c r="A10" s="5" t="s">
        <v>128</v>
      </c>
      <c r="B10" s="24">
        <f>B4-B9</f>
        <v>46232</v>
      </c>
    </row>
    <row r="11" spans="1:3" x14ac:dyDescent="0.35">
      <c r="A11" s="11" t="s">
        <v>129</v>
      </c>
      <c r="B11" s="19">
        <f>DAY(B10)</f>
        <v>29</v>
      </c>
    </row>
    <row r="12" spans="1:3" x14ac:dyDescent="0.35">
      <c r="A12" s="5" t="s">
        <v>130</v>
      </c>
      <c r="B12" s="23">
        <v>8</v>
      </c>
    </row>
    <row r="13" spans="1:3" x14ac:dyDescent="0.35">
      <c r="A13" s="5" t="s">
        <v>131</v>
      </c>
      <c r="B13" s="20" t="str">
        <f>IF(B12&gt;=B9,"Pass","Fail")</f>
        <v>Pass</v>
      </c>
    </row>
    <row r="14" spans="1:3" x14ac:dyDescent="0.35">
      <c r="A14" s="5" t="s">
        <v>132</v>
      </c>
      <c r="B14" s="23">
        <v>8</v>
      </c>
    </row>
    <row r="15" spans="1:3" x14ac:dyDescent="0.35">
      <c r="A15" s="5" t="s">
        <v>133</v>
      </c>
      <c r="B15" s="20" t="str">
        <f>IF(B14&gt;=B9,"Pass","Fail")</f>
        <v>Pass</v>
      </c>
    </row>
    <row r="16" spans="1:3" x14ac:dyDescent="0.35">
      <c r="A16" s="5" t="s">
        <v>134</v>
      </c>
      <c r="B16" s="12">
        <v>3</v>
      </c>
    </row>
    <row r="17" spans="1:2" x14ac:dyDescent="0.35">
      <c r="A17" s="5" t="s">
        <v>135</v>
      </c>
      <c r="B17" s="23">
        <v>3</v>
      </c>
    </row>
    <row r="18" spans="1:2" x14ac:dyDescent="0.35">
      <c r="A18" s="5" t="s">
        <v>136</v>
      </c>
      <c r="B18" s="25" t="s">
        <v>137</v>
      </c>
    </row>
    <row r="19" spans="1:2" x14ac:dyDescent="0.35">
      <c r="A19" s="11" t="s">
        <v>138</v>
      </c>
      <c r="B19" s="19">
        <f>MAX(2,ROUNDUP(B16/3,0))</f>
        <v>2</v>
      </c>
    </row>
    <row r="20" spans="1:2" x14ac:dyDescent="0.35">
      <c r="A20" s="5" t="s">
        <v>139</v>
      </c>
      <c r="B20" s="20" t="str">
        <f>IF(B17&gt;=B19,"Pass","Fail")</f>
        <v>Pass</v>
      </c>
    </row>
    <row r="21" spans="1:2" x14ac:dyDescent="0.35">
      <c r="A21" s="5" t="s">
        <v>140</v>
      </c>
      <c r="B21" s="20" t="str">
        <f>IF(AND(B17&gt;=B19,B18="Yes"),"Pass","Fail")</f>
        <v>Pass</v>
      </c>
    </row>
    <row r="22" spans="1:2" x14ac:dyDescent="0.35">
      <c r="A22" s="5" t="s">
        <v>141</v>
      </c>
      <c r="B22" s="23">
        <v>10</v>
      </c>
    </row>
    <row r="23" spans="1:2" x14ac:dyDescent="0.35">
      <c r="A23" s="5" t="s">
        <v>142</v>
      </c>
      <c r="B23" s="24">
        <f>B4+15</f>
        <v>46254</v>
      </c>
    </row>
    <row r="24" spans="1:2" x14ac:dyDescent="0.35">
      <c r="A24" s="5" t="s">
        <v>143</v>
      </c>
      <c r="B24" s="24">
        <f>B4+30</f>
        <v>46269</v>
      </c>
    </row>
    <row r="25" spans="1:2" x14ac:dyDescent="0.35">
      <c r="A25" s="5" t="s">
        <v>144</v>
      </c>
      <c r="B25" s="20" t="str">
        <f>IF(B22&lt;=15,"Pass","Fail")</f>
        <v>Pass</v>
      </c>
    </row>
    <row r="26" spans="1:2" x14ac:dyDescent="0.35">
      <c r="A26" s="11" t="s">
        <v>145</v>
      </c>
      <c r="B26" s="19">
        <f>COUNTIF(B13,"Pass")+COUNTIF(B15,"Pass")+COUNTIF(B20,"Pass")+COUNTIF(B21,"Pass")+COUNTIF(B25,"Pass")</f>
        <v>5</v>
      </c>
    </row>
    <row r="27" spans="1:2" x14ac:dyDescent="0.35">
      <c r="A27" s="5" t="s">
        <v>146</v>
      </c>
      <c r="B27" s="13">
        <f>B4-B5</f>
        <v>133</v>
      </c>
    </row>
    <row r="28" spans="1:2" x14ac:dyDescent="0.35">
      <c r="A28" s="5" t="s">
        <v>147</v>
      </c>
      <c r="B28" s="20" t="str">
        <f>IF(AND(B27&gt;=90,MONTH(B5)&lt;=6,MONTH(B4)&gt;=7),"Pass","Fail")</f>
        <v>Pass</v>
      </c>
    </row>
    <row r="29" spans="1:2" x14ac:dyDescent="0.35">
      <c r="A29" s="5" t="s">
        <v>148</v>
      </c>
      <c r="B29" s="20" t="str">
        <f>IF(B27&lt;=120,"Pass","Fail")</f>
        <v>Fail</v>
      </c>
    </row>
    <row r="30" spans="1:2" x14ac:dyDescent="0.35">
      <c r="A30" s="5" t="s">
        <v>149</v>
      </c>
      <c r="B30" s="20" t="str">
        <f>IF(B4&lt;=DATE(2026,6,30)+45,"Pass","Fail")</f>
        <v>Pass</v>
      </c>
    </row>
  </sheetData>
  <dataValidations count="2">
    <dataValidation type="list" sqref="B8" xr:uid="{00000000-0002-0000-0300-000000000000}">
      <formula1>"E-mail,Post"</formula1>
    </dataValidation>
    <dataValidation type="list" sqref="B18" xr:uid="{00000000-0002-0000-0300-000001000000}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0"/>
  <sheetViews>
    <sheetView workbookViewId="0"/>
  </sheetViews>
  <sheetFormatPr defaultRowHeight="14.5" x14ac:dyDescent="0.35"/>
  <cols>
    <col min="1" max="1" width="62" customWidth="1"/>
    <col min="2" max="2" width="14" customWidth="1"/>
    <col min="3" max="4" width="16" customWidth="1"/>
    <col min="5" max="5" width="14" customWidth="1"/>
    <col min="6" max="6" width="22" customWidth="1"/>
    <col min="7" max="10" width="12" customWidth="1"/>
  </cols>
  <sheetData>
    <row r="1" spans="1:6" ht="24" customHeight="1" x14ac:dyDescent="0.4">
      <c r="A1" s="1" t="s">
        <v>26</v>
      </c>
      <c r="B1" s="2"/>
      <c r="C1" s="2"/>
      <c r="D1" s="2"/>
      <c r="E1" s="2"/>
      <c r="F1" s="2"/>
    </row>
    <row r="2" spans="1:6" x14ac:dyDescent="0.35">
      <c r="A2" s="3" t="s">
        <v>150</v>
      </c>
    </row>
    <row r="3" spans="1:6" x14ac:dyDescent="0.35">
      <c r="A3" s="9" t="s">
        <v>151</v>
      </c>
      <c r="B3" s="10" t="s">
        <v>73</v>
      </c>
      <c r="C3" s="10" t="s">
        <v>74</v>
      </c>
      <c r="D3" s="10" t="s">
        <v>75</v>
      </c>
      <c r="E3" s="10"/>
    </row>
    <row r="4" spans="1:6" x14ac:dyDescent="0.35">
      <c r="A4" s="5" t="s">
        <v>152</v>
      </c>
      <c r="B4" s="26">
        <v>1.25</v>
      </c>
      <c r="C4" s="26">
        <v>1.333333333333333</v>
      </c>
    </row>
    <row r="5" spans="1:6" x14ac:dyDescent="0.35">
      <c r="A5" s="5" t="s">
        <v>153</v>
      </c>
      <c r="B5" s="12">
        <v>2500</v>
      </c>
      <c r="C5" s="12">
        <v>2500</v>
      </c>
    </row>
    <row r="6" spans="1:6" x14ac:dyDescent="0.35">
      <c r="A6" s="5" t="s">
        <v>154</v>
      </c>
      <c r="B6" s="22">
        <v>0.18</v>
      </c>
    </row>
    <row r="7" spans="1:6" x14ac:dyDescent="0.35">
      <c r="A7" s="5" t="s">
        <v>155</v>
      </c>
      <c r="B7" s="12">
        <v>24000</v>
      </c>
      <c r="C7" s="12">
        <v>2950</v>
      </c>
      <c r="D7" s="12">
        <v>25000</v>
      </c>
    </row>
    <row r="8" spans="1:6" x14ac:dyDescent="0.35">
      <c r="A8" s="5" t="s">
        <v>156</v>
      </c>
      <c r="B8" s="27">
        <f>B4*B5*(1+$B$6)</f>
        <v>3687.5</v>
      </c>
      <c r="C8" s="27">
        <f>C4*C5*(1+$B$6)</f>
        <v>3933.3333333333321</v>
      </c>
      <c r="D8" s="27">
        <f>B7*C7/D7</f>
        <v>2832</v>
      </c>
    </row>
    <row r="9" spans="1:6" x14ac:dyDescent="0.35">
      <c r="A9" s="5" t="s">
        <v>157</v>
      </c>
      <c r="B9" s="28">
        <f>'02_Update'!B4</f>
        <v>14400</v>
      </c>
      <c r="C9" s="28">
        <f>'02_Update'!C4</f>
        <v>24600</v>
      </c>
      <c r="D9" s="28">
        <f>'02_Update'!D4</f>
        <v>11700</v>
      </c>
    </row>
    <row r="11" spans="1:6" x14ac:dyDescent="0.35">
      <c r="A11" s="9" t="s">
        <v>158</v>
      </c>
      <c r="B11" s="10" t="s">
        <v>159</v>
      </c>
      <c r="C11" s="10" t="s">
        <v>160</v>
      </c>
      <c r="D11" s="10" t="s">
        <v>161</v>
      </c>
      <c r="E11" s="10"/>
    </row>
    <row r="12" spans="1:6" x14ac:dyDescent="0.35">
      <c r="A12" s="5" t="s">
        <v>162</v>
      </c>
      <c r="B12" s="5" t="s">
        <v>163</v>
      </c>
      <c r="C12" s="5" t="s">
        <v>164</v>
      </c>
      <c r="D12" s="5" t="s">
        <v>165</v>
      </c>
    </row>
    <row r="13" spans="1:6" x14ac:dyDescent="0.35">
      <c r="A13" s="5" t="s">
        <v>166</v>
      </c>
      <c r="B13" s="29">
        <f>'02_Update'!E6</f>
        <v>11.00475</v>
      </c>
      <c r="C13" s="15">
        <f>SUMPRODUCT(B8:D8,B9:D9)/10000000</f>
        <v>18.299439999999997</v>
      </c>
      <c r="D13" s="15">
        <f>B13*(1+B6)</f>
        <v>12.985605</v>
      </c>
    </row>
    <row r="14" spans="1:6" x14ac:dyDescent="0.35">
      <c r="A14" s="5" t="s">
        <v>162</v>
      </c>
      <c r="B14" s="5" t="s">
        <v>167</v>
      </c>
      <c r="C14" s="5" t="s">
        <v>168</v>
      </c>
    </row>
    <row r="15" spans="1:6" x14ac:dyDescent="0.35">
      <c r="A15" s="5" t="s">
        <v>169</v>
      </c>
      <c r="B15" s="28">
        <f>'02_Update'!B16</f>
        <v>1650</v>
      </c>
      <c r="C15" s="13">
        <f>'02_Update'!B14*10000000/B16</f>
        <v>1245</v>
      </c>
    </row>
    <row r="16" spans="1:6" x14ac:dyDescent="0.35">
      <c r="A16" s="5" t="s">
        <v>170</v>
      </c>
      <c r="B16" s="12">
        <v>11000</v>
      </c>
    </row>
    <row r="17" spans="1:10" x14ac:dyDescent="0.35">
      <c r="A17" s="5" t="s">
        <v>162</v>
      </c>
      <c r="B17" s="5" t="s">
        <v>171</v>
      </c>
      <c r="C17" s="5" t="s">
        <v>172</v>
      </c>
    </row>
    <row r="18" spans="1:10" x14ac:dyDescent="0.35">
      <c r="A18" s="5" t="s">
        <v>173</v>
      </c>
      <c r="B18" s="29">
        <f>'02_Update'!B19</f>
        <v>7.9549674803615273</v>
      </c>
      <c r="C18" s="29">
        <f>'02_Update'!B23</f>
        <v>27.954967480361528</v>
      </c>
    </row>
    <row r="20" spans="1:10" x14ac:dyDescent="0.35">
      <c r="A20" s="9" t="s">
        <v>174</v>
      </c>
      <c r="B20" s="10" t="s">
        <v>175</v>
      </c>
      <c r="C20" s="10" t="s">
        <v>176</v>
      </c>
      <c r="D20" s="10" t="s">
        <v>177</v>
      </c>
      <c r="E20" s="10" t="s">
        <v>178</v>
      </c>
    </row>
    <row r="21" spans="1:10" x14ac:dyDescent="0.35">
      <c r="A21" s="5" t="s">
        <v>179</v>
      </c>
      <c r="B21" s="25" t="s">
        <v>163</v>
      </c>
      <c r="C21" s="25" t="s">
        <v>163</v>
      </c>
      <c r="D21" s="25" t="s">
        <v>163</v>
      </c>
      <c r="E21" s="25" t="s">
        <v>163</v>
      </c>
    </row>
    <row r="22" spans="1:10" x14ac:dyDescent="0.35">
      <c r="A22" s="5" t="s">
        <v>180</v>
      </c>
      <c r="B22" s="25" t="s">
        <v>167</v>
      </c>
      <c r="C22" s="25" t="s">
        <v>167</v>
      </c>
      <c r="D22" s="25" t="s">
        <v>167</v>
      </c>
      <c r="E22" s="25" t="s">
        <v>167</v>
      </c>
    </row>
    <row r="23" spans="1:10" x14ac:dyDescent="0.35">
      <c r="A23" s="5" t="s">
        <v>181</v>
      </c>
      <c r="B23" s="25" t="s">
        <v>171</v>
      </c>
      <c r="C23" s="25" t="s">
        <v>171</v>
      </c>
      <c r="D23" s="25" t="s">
        <v>171</v>
      </c>
      <c r="E23" s="25" t="s">
        <v>171</v>
      </c>
    </row>
    <row r="25" spans="1:10" ht="26" x14ac:dyDescent="0.35">
      <c r="A25" s="9" t="s">
        <v>182</v>
      </c>
      <c r="B25" s="10" t="s">
        <v>175</v>
      </c>
      <c r="C25" s="10" t="s">
        <v>176</v>
      </c>
      <c r="D25" s="10" t="s">
        <v>177</v>
      </c>
      <c r="E25" s="10" t="s">
        <v>178</v>
      </c>
      <c r="F25" s="10" t="s">
        <v>183</v>
      </c>
      <c r="G25" s="10" t="s">
        <v>184</v>
      </c>
      <c r="H25" s="10" t="s">
        <v>185</v>
      </c>
      <c r="I25" s="10" t="s">
        <v>186</v>
      </c>
      <c r="J25" s="10" t="s">
        <v>187</v>
      </c>
    </row>
    <row r="26" spans="1:10" x14ac:dyDescent="0.35">
      <c r="A26" s="5" t="s">
        <v>166</v>
      </c>
      <c r="B26" s="15">
        <f>INDEX($B$13:$D$13,MATCH(B21,$B$12:$D$12,0))</f>
        <v>11.00475</v>
      </c>
      <c r="C26" s="15">
        <f>INDEX($B$13:$D$13,MATCH(C21,$B$12:$D$12,0))</f>
        <v>11.00475</v>
      </c>
      <c r="D26" s="15">
        <f>INDEX($B$13:$D$13,MATCH(D21,$B$12:$D$12,0))</f>
        <v>11.00475</v>
      </c>
      <c r="E26" s="15">
        <f>INDEX($B$13:$D$13,MATCH(E21,$B$12:$D$12,0))</f>
        <v>11.00475</v>
      </c>
      <c r="F26" s="13">
        <f>SUMPRODUCT(--(ABS(B26:E26-$B$13)&gt;0.000001))</f>
        <v>0</v>
      </c>
      <c r="G26" s="18">
        <f>ABS(B26/$B$13-1)</f>
        <v>0</v>
      </c>
      <c r="H26" s="18">
        <f>ABS(C26/$B$13-1)</f>
        <v>0</v>
      </c>
      <c r="I26" s="18">
        <f>ABS(D26/$B$13-1)</f>
        <v>0</v>
      </c>
      <c r="J26" s="18">
        <f>ABS(E26/$B$13-1)</f>
        <v>0</v>
      </c>
    </row>
    <row r="27" spans="1:10" x14ac:dyDescent="0.35">
      <c r="A27" s="5" t="s">
        <v>169</v>
      </c>
      <c r="B27" s="13">
        <f>INDEX($B$15:$C$15,MATCH(B22,$B$14:$C$14,0))</f>
        <v>1650</v>
      </c>
      <c r="C27" s="13">
        <f>INDEX($B$15:$C$15,MATCH(C22,$B$14:$C$14,0))</f>
        <v>1650</v>
      </c>
      <c r="D27" s="13">
        <f>INDEX($B$15:$C$15,MATCH(D22,$B$14:$C$14,0))</f>
        <v>1650</v>
      </c>
      <c r="E27" s="13">
        <f>INDEX($B$15:$C$15,MATCH(E22,$B$14:$C$14,0))</f>
        <v>1650</v>
      </c>
      <c r="F27" s="13">
        <f>SUMPRODUCT(--(ABS(B27:E27-$B$15)&gt;0.000001))</f>
        <v>0</v>
      </c>
      <c r="G27" s="18">
        <f>ABS(B27/$B$15-1)</f>
        <v>0</v>
      </c>
      <c r="H27" s="18">
        <f>ABS(C27/$B$15-1)</f>
        <v>0</v>
      </c>
      <c r="I27" s="18">
        <f>ABS(D27/$B$15-1)</f>
        <v>0</v>
      </c>
      <c r="J27" s="18">
        <f>ABS(E27/$B$15-1)</f>
        <v>0</v>
      </c>
    </row>
    <row r="28" spans="1:10" x14ac:dyDescent="0.35">
      <c r="A28" s="5" t="s">
        <v>173</v>
      </c>
      <c r="B28" s="15">
        <f>INDEX($B$18:$C$18,MATCH(B23,$B$17:$C$17,0))</f>
        <v>7.9549674803615273</v>
      </c>
      <c r="C28" s="15">
        <f>INDEX($B$18:$C$18,MATCH(C23,$B$17:$C$17,0))</f>
        <v>7.9549674803615273</v>
      </c>
      <c r="D28" s="15">
        <f>INDEX($B$18:$C$18,MATCH(D23,$B$17:$C$17,0))</f>
        <v>7.9549674803615273</v>
      </c>
      <c r="E28" s="15">
        <f>INDEX($B$18:$C$18,MATCH(E23,$B$17:$C$17,0))</f>
        <v>7.9549674803615273</v>
      </c>
      <c r="F28" s="13">
        <f>SUMPRODUCT(--(ABS(B28:E28-$B$18)&gt;0.000001))</f>
        <v>0</v>
      </c>
      <c r="G28" s="18">
        <f>ABS(B28/$B$18-1)</f>
        <v>0</v>
      </c>
      <c r="H28" s="18">
        <f>ABS(C28/$B$18-1)</f>
        <v>0</v>
      </c>
      <c r="I28" s="18">
        <f>ABS(D28/$B$18-1)</f>
        <v>0</v>
      </c>
      <c r="J28" s="18">
        <f>ABS(E28/$B$18-1)</f>
        <v>0</v>
      </c>
    </row>
    <row r="29" spans="1:10" x14ac:dyDescent="0.35">
      <c r="A29" s="11" t="s">
        <v>188</v>
      </c>
      <c r="F29" s="19">
        <f>SUM(F26:F28)</f>
        <v>0</v>
      </c>
    </row>
    <row r="30" spans="1:10" x14ac:dyDescent="0.35">
      <c r="A30" s="11" t="s">
        <v>189</v>
      </c>
      <c r="F30" s="21">
        <f>MAX(G26:J28)</f>
        <v>0</v>
      </c>
    </row>
  </sheetData>
  <dataValidations count="3">
    <dataValidation type="list" sqref="B21:E21" xr:uid="{00000000-0002-0000-0400-000000000000}">
      <formula1>"Net,GMV,Gross"</formula1>
    </dataValidation>
    <dataValidation type="list" sqref="B22:E22" xr:uid="{00000000-0002-0000-0400-000001000000}">
      <formula1>"Paid,Blended"</formula1>
    </dataValidation>
    <dataValidation type="list" sqref="B23:E23" xr:uid="{00000000-0002-0000-0400-000002000000}">
      <formula1>"Liquidity,With deposits"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"/>
  <sheetViews>
    <sheetView workbookViewId="0"/>
  </sheetViews>
  <sheetFormatPr defaultRowHeight="14.5" x14ac:dyDescent="0.35"/>
  <cols>
    <col min="1" max="1" width="24" customWidth="1"/>
    <col min="2" max="2" width="72" customWidth="1"/>
    <col min="3" max="4" width="12" customWidth="1"/>
  </cols>
  <sheetData>
    <row r="1" spans="1:4" ht="24" customHeight="1" x14ac:dyDescent="0.4">
      <c r="A1" s="1" t="s">
        <v>190</v>
      </c>
      <c r="B1" s="2"/>
      <c r="C1" s="2"/>
      <c r="D1" s="2"/>
    </row>
    <row r="2" spans="1:4" x14ac:dyDescent="0.35">
      <c r="A2" s="3" t="s">
        <v>191</v>
      </c>
    </row>
    <row r="3" spans="1:4" x14ac:dyDescent="0.35">
      <c r="A3" s="9" t="s">
        <v>192</v>
      </c>
      <c r="B3" s="10" t="s">
        <v>193</v>
      </c>
      <c r="C3" s="10" t="s">
        <v>194</v>
      </c>
      <c r="D3" s="10" t="s">
        <v>195</v>
      </c>
    </row>
    <row r="4" spans="1:4" x14ac:dyDescent="0.35">
      <c r="A4" s="5" t="s">
        <v>196</v>
      </c>
      <c r="B4" s="5" t="s">
        <v>197</v>
      </c>
      <c r="C4" s="25" t="s">
        <v>195</v>
      </c>
      <c r="D4" s="13">
        <f t="shared" ref="D4:D22" si="0">IF(C4="Ready",1,0)</f>
        <v>1</v>
      </c>
    </row>
    <row r="5" spans="1:4" x14ac:dyDescent="0.35">
      <c r="A5" s="5" t="s">
        <v>196</v>
      </c>
      <c r="B5" s="5" t="s">
        <v>198</v>
      </c>
      <c r="C5" s="25" t="s">
        <v>195</v>
      </c>
      <c r="D5" s="13">
        <f t="shared" si="0"/>
        <v>1</v>
      </c>
    </row>
    <row r="6" spans="1:4" x14ac:dyDescent="0.35">
      <c r="A6" s="5" t="s">
        <v>196</v>
      </c>
      <c r="B6" s="5" t="s">
        <v>199</v>
      </c>
      <c r="C6" s="25" t="s">
        <v>195</v>
      </c>
      <c r="D6" s="13">
        <f t="shared" si="0"/>
        <v>1</v>
      </c>
    </row>
    <row r="7" spans="1:4" x14ac:dyDescent="0.35">
      <c r="A7" s="5" t="s">
        <v>196</v>
      </c>
      <c r="B7" s="5" t="s">
        <v>200</v>
      </c>
      <c r="C7" s="25" t="s">
        <v>195</v>
      </c>
      <c r="D7" s="13">
        <f t="shared" si="0"/>
        <v>1</v>
      </c>
    </row>
    <row r="8" spans="1:4" x14ac:dyDescent="0.35">
      <c r="A8" s="5" t="s">
        <v>196</v>
      </c>
      <c r="B8" s="5" t="s">
        <v>201</v>
      </c>
      <c r="C8" s="25" t="s">
        <v>195</v>
      </c>
      <c r="D8" s="13">
        <f t="shared" si="0"/>
        <v>1</v>
      </c>
    </row>
    <row r="9" spans="1:4" x14ac:dyDescent="0.35">
      <c r="A9" s="5" t="s">
        <v>196</v>
      </c>
      <c r="B9" s="5" t="s">
        <v>202</v>
      </c>
      <c r="C9" s="25" t="s">
        <v>195</v>
      </c>
      <c r="D9" s="13">
        <f t="shared" si="0"/>
        <v>1</v>
      </c>
    </row>
    <row r="10" spans="1:4" x14ac:dyDescent="0.35">
      <c r="A10" s="5" t="s">
        <v>203</v>
      </c>
      <c r="B10" s="5" t="s">
        <v>204</v>
      </c>
      <c r="C10" s="25" t="s">
        <v>195</v>
      </c>
      <c r="D10" s="13">
        <f t="shared" si="0"/>
        <v>1</v>
      </c>
    </row>
    <row r="11" spans="1:4" x14ac:dyDescent="0.35">
      <c r="A11" s="5" t="s">
        <v>203</v>
      </c>
      <c r="B11" s="5" t="s">
        <v>205</v>
      </c>
      <c r="C11" s="25" t="s">
        <v>195</v>
      </c>
      <c r="D11" s="13">
        <f t="shared" si="0"/>
        <v>1</v>
      </c>
    </row>
    <row r="12" spans="1:4" x14ac:dyDescent="0.35">
      <c r="A12" s="5" t="s">
        <v>203</v>
      </c>
      <c r="B12" s="5" t="s">
        <v>206</v>
      </c>
      <c r="C12" s="25" t="s">
        <v>195</v>
      </c>
      <c r="D12" s="13">
        <f t="shared" si="0"/>
        <v>1</v>
      </c>
    </row>
    <row r="13" spans="1:4" x14ac:dyDescent="0.35">
      <c r="A13" s="5" t="s">
        <v>203</v>
      </c>
      <c r="B13" s="5" t="s">
        <v>207</v>
      </c>
      <c r="C13" s="25" t="s">
        <v>195</v>
      </c>
      <c r="D13" s="13">
        <f t="shared" si="0"/>
        <v>1</v>
      </c>
    </row>
    <row r="14" spans="1:4" x14ac:dyDescent="0.35">
      <c r="A14" s="5" t="s">
        <v>208</v>
      </c>
      <c r="B14" s="5" t="s">
        <v>209</v>
      </c>
      <c r="C14" s="25" t="s">
        <v>210</v>
      </c>
      <c r="D14" s="13">
        <f t="shared" si="0"/>
        <v>0</v>
      </c>
    </row>
    <row r="15" spans="1:4" x14ac:dyDescent="0.35">
      <c r="A15" s="5" t="s">
        <v>208</v>
      </c>
      <c r="B15" s="5" t="s">
        <v>211</v>
      </c>
      <c r="C15" s="25" t="s">
        <v>195</v>
      </c>
      <c r="D15" s="13">
        <f t="shared" si="0"/>
        <v>1</v>
      </c>
    </row>
    <row r="16" spans="1:4" x14ac:dyDescent="0.35">
      <c r="A16" s="5" t="s">
        <v>208</v>
      </c>
      <c r="B16" s="5" t="s">
        <v>212</v>
      </c>
      <c r="C16" s="25" t="s">
        <v>195</v>
      </c>
      <c r="D16" s="13">
        <f t="shared" si="0"/>
        <v>1</v>
      </c>
    </row>
    <row r="17" spans="1:4" x14ac:dyDescent="0.35">
      <c r="A17" s="5" t="s">
        <v>213</v>
      </c>
      <c r="B17" s="5" t="s">
        <v>214</v>
      </c>
      <c r="C17" s="25" t="s">
        <v>195</v>
      </c>
      <c r="D17" s="13">
        <f t="shared" si="0"/>
        <v>1</v>
      </c>
    </row>
    <row r="18" spans="1:4" x14ac:dyDescent="0.35">
      <c r="A18" s="5" t="s">
        <v>213</v>
      </c>
      <c r="B18" s="5" t="s">
        <v>215</v>
      </c>
      <c r="C18" s="25" t="s">
        <v>195</v>
      </c>
      <c r="D18" s="13">
        <f t="shared" si="0"/>
        <v>1</v>
      </c>
    </row>
    <row r="19" spans="1:4" x14ac:dyDescent="0.35">
      <c r="A19" s="5" t="s">
        <v>213</v>
      </c>
      <c r="B19" s="5" t="s">
        <v>216</v>
      </c>
      <c r="C19" s="25" t="s">
        <v>195</v>
      </c>
      <c r="D19" s="13">
        <f t="shared" si="0"/>
        <v>1</v>
      </c>
    </row>
    <row r="20" spans="1:4" x14ac:dyDescent="0.35">
      <c r="A20" s="5" t="s">
        <v>217</v>
      </c>
      <c r="B20" s="5" t="s">
        <v>218</v>
      </c>
      <c r="C20" s="25" t="s">
        <v>219</v>
      </c>
      <c r="D20" s="13">
        <f t="shared" si="0"/>
        <v>0</v>
      </c>
    </row>
    <row r="21" spans="1:4" x14ac:dyDescent="0.35">
      <c r="A21" s="5" t="s">
        <v>217</v>
      </c>
      <c r="B21" s="5" t="s">
        <v>220</v>
      </c>
      <c r="C21" s="25" t="s">
        <v>195</v>
      </c>
      <c r="D21" s="13">
        <f t="shared" si="0"/>
        <v>1</v>
      </c>
    </row>
    <row r="22" spans="1:4" x14ac:dyDescent="0.35">
      <c r="A22" s="5" t="s">
        <v>217</v>
      </c>
      <c r="B22" s="5" t="s">
        <v>221</v>
      </c>
      <c r="C22" s="25" t="s">
        <v>195</v>
      </c>
      <c r="D22" s="13">
        <f t="shared" si="0"/>
        <v>1</v>
      </c>
    </row>
    <row r="24" spans="1:4" x14ac:dyDescent="0.35">
      <c r="A24" s="9" t="s">
        <v>222</v>
      </c>
      <c r="B24" s="10" t="s">
        <v>223</v>
      </c>
      <c r="C24" s="10" t="s">
        <v>195</v>
      </c>
      <c r="D24" s="10" t="s">
        <v>224</v>
      </c>
    </row>
    <row r="25" spans="1:4" x14ac:dyDescent="0.35">
      <c r="A25" s="5" t="s">
        <v>196</v>
      </c>
      <c r="B25" s="13">
        <f>COUNTIF($A$4:$A$22,A25)</f>
        <v>6</v>
      </c>
      <c r="C25" s="13">
        <f>SUMIFS($D$4:$D$22,$A$4:$A$22,A25)</f>
        <v>6</v>
      </c>
      <c r="D25" s="18">
        <f t="shared" ref="D25:D30" si="1">C25/B25</f>
        <v>1</v>
      </c>
    </row>
    <row r="26" spans="1:4" x14ac:dyDescent="0.35">
      <c r="A26" s="5" t="s">
        <v>203</v>
      </c>
      <c r="B26" s="13">
        <f>COUNTIF($A$4:$A$22,A26)</f>
        <v>4</v>
      </c>
      <c r="C26" s="13">
        <f>SUMIFS($D$4:$D$22,$A$4:$A$22,A26)</f>
        <v>4</v>
      </c>
      <c r="D26" s="18">
        <f t="shared" si="1"/>
        <v>1</v>
      </c>
    </row>
    <row r="27" spans="1:4" x14ac:dyDescent="0.35">
      <c r="A27" s="5" t="s">
        <v>208</v>
      </c>
      <c r="B27" s="13">
        <f>COUNTIF($A$4:$A$22,A27)</f>
        <v>3</v>
      </c>
      <c r="C27" s="13">
        <f>SUMIFS($D$4:$D$22,$A$4:$A$22,A27)</f>
        <v>2</v>
      </c>
      <c r="D27" s="18">
        <f t="shared" si="1"/>
        <v>0.66666666666666663</v>
      </c>
    </row>
    <row r="28" spans="1:4" x14ac:dyDescent="0.35">
      <c r="A28" s="5" t="s">
        <v>213</v>
      </c>
      <c r="B28" s="13">
        <f>COUNTIF($A$4:$A$22,A28)</f>
        <v>3</v>
      </c>
      <c r="C28" s="13">
        <f>SUMIFS($D$4:$D$22,$A$4:$A$22,A28)</f>
        <v>3</v>
      </c>
      <c r="D28" s="18">
        <f t="shared" si="1"/>
        <v>1</v>
      </c>
    </row>
    <row r="29" spans="1:4" x14ac:dyDescent="0.35">
      <c r="A29" s="5" t="s">
        <v>217</v>
      </c>
      <c r="B29" s="13">
        <f>COUNTIF($A$4:$A$22,A29)</f>
        <v>3</v>
      </c>
      <c r="C29" s="13">
        <f>SUMIFS($D$4:$D$22,$A$4:$A$22,A29)</f>
        <v>2</v>
      </c>
      <c r="D29" s="18">
        <f t="shared" si="1"/>
        <v>0.66666666666666663</v>
      </c>
    </row>
    <row r="30" spans="1:4" x14ac:dyDescent="0.35">
      <c r="A30" s="11" t="s">
        <v>225</v>
      </c>
      <c r="B30" s="19">
        <f>SUM(B25:B29)</f>
        <v>19</v>
      </c>
      <c r="C30" s="19">
        <f>SUM(C25:C29)</f>
        <v>17</v>
      </c>
      <c r="D30" s="21">
        <f t="shared" si="1"/>
        <v>0.89473684210526316</v>
      </c>
    </row>
    <row r="31" spans="1:4" x14ac:dyDescent="0.35">
      <c r="A31" s="5" t="s">
        <v>226</v>
      </c>
      <c r="D31" s="13">
        <f>B30-C30</f>
        <v>2</v>
      </c>
    </row>
  </sheetData>
  <dataValidations count="1">
    <dataValidation type="list" sqref="C4:C22" xr:uid="{00000000-0002-0000-0500-000000000000}">
      <formula1>"Ready,Missing,In full"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/>
  </sheetViews>
  <sheetFormatPr defaultRowHeight="14.5" x14ac:dyDescent="0.35"/>
  <cols>
    <col min="1" max="1" width="8" customWidth="1"/>
    <col min="2" max="2" width="46" customWidth="1"/>
    <col min="3" max="3" width="14" customWidth="1"/>
    <col min="4" max="4" width="52" customWidth="1"/>
    <col min="5" max="5" width="14" customWidth="1"/>
    <col min="6" max="6" width="12" customWidth="1"/>
    <col min="7" max="7" width="14" customWidth="1"/>
    <col min="8" max="8" width="12" customWidth="1"/>
  </cols>
  <sheetData>
    <row r="1" spans="1:8" ht="24" customHeight="1" x14ac:dyDescent="0.4">
      <c r="A1" s="1" t="s">
        <v>30</v>
      </c>
      <c r="B1" s="2"/>
      <c r="C1" s="2"/>
      <c r="D1" s="2"/>
      <c r="E1" s="2"/>
      <c r="F1" s="2"/>
      <c r="G1" s="2"/>
      <c r="H1" s="2"/>
    </row>
    <row r="2" spans="1:8" x14ac:dyDescent="0.35">
      <c r="A2" s="3" t="s">
        <v>227</v>
      </c>
    </row>
    <row r="3" spans="1:8" ht="26" x14ac:dyDescent="0.35">
      <c r="A3" s="9" t="s">
        <v>228</v>
      </c>
      <c r="B3" s="10" t="s">
        <v>229</v>
      </c>
      <c r="C3" s="10" t="s">
        <v>230</v>
      </c>
      <c r="D3" s="10" t="s">
        <v>231</v>
      </c>
      <c r="E3" s="10" t="s">
        <v>232</v>
      </c>
      <c r="F3" s="10" t="s">
        <v>233</v>
      </c>
      <c r="G3" s="10" t="s">
        <v>234</v>
      </c>
      <c r="H3" s="10" t="s">
        <v>235</v>
      </c>
    </row>
    <row r="4" spans="1:8" x14ac:dyDescent="0.35">
      <c r="A4" s="5" t="s">
        <v>236</v>
      </c>
      <c r="B4" s="5" t="s">
        <v>237</v>
      </c>
      <c r="C4" s="25" t="s">
        <v>238</v>
      </c>
      <c r="D4" s="30" t="str">
        <f>IF(C4="mis","The MIS: ₹11.00 Cr","The dashboards: ₹18.30 Cr of GMV")</f>
        <v>The MIS: ₹11.00 Cr</v>
      </c>
      <c r="E4" s="5" t="s">
        <v>238</v>
      </c>
      <c r="F4" s="13">
        <f>IF(C4=E4,1,0)</f>
        <v>1</v>
      </c>
      <c r="G4" s="5" t="s">
        <v>239</v>
      </c>
      <c r="H4" s="13">
        <f>IF($C$10="Every answer",1,IF($C$10="Nothing",0,IF(G4="Yes",1,0)))</f>
        <v>0</v>
      </c>
    </row>
    <row r="5" spans="1:8" x14ac:dyDescent="0.35">
      <c r="A5" s="5" t="s">
        <v>240</v>
      </c>
      <c r="B5" s="5" t="s">
        <v>241</v>
      </c>
      <c r="C5" s="25" t="s">
        <v>242</v>
      </c>
      <c r="D5" s="30" t="str">
        <f>IF(C5="dictionary","Paid CAC ₹1,650, no payback on the FY26 curve","Blended CAC ₹1,245, payback in month 5")</f>
        <v>Paid CAC ₹1,650, no payback on the FY26 curve</v>
      </c>
      <c r="E5" s="5" t="s">
        <v>242</v>
      </c>
      <c r="F5" s="13">
        <f>IF(C5=E5,1,0)</f>
        <v>1</v>
      </c>
      <c r="G5" s="5" t="s">
        <v>137</v>
      </c>
      <c r="H5" s="13">
        <f>IF($C$10="Every answer",1,IF($C$10="Nothing",0,IF(G5="Yes",1,0)))</f>
        <v>1</v>
      </c>
    </row>
    <row r="6" spans="1:8" x14ac:dyDescent="0.35">
      <c r="A6" s="5" t="s">
        <v>243</v>
      </c>
      <c r="B6" s="5" t="s">
        <v>244</v>
      </c>
      <c r="C6" s="25" t="s">
        <v>245</v>
      </c>
      <c r="D6" s="30" t="str">
        <f>IF(C6="cash","27 months on cash burn, to June 2028","31 months on EBITDA, to October 2028")</f>
        <v>27 months on cash burn, to June 2028</v>
      </c>
      <c r="E6" s="5" t="s">
        <v>245</v>
      </c>
      <c r="F6" s="13">
        <f>IF(C6=E6,1,0)</f>
        <v>1</v>
      </c>
      <c r="G6" s="5" t="s">
        <v>137</v>
      </c>
      <c r="H6" s="13">
        <f>IF($C$10="Every answer",1,IF($C$10="Nothing",0,IF(G6="Yes",1,0)))</f>
        <v>1</v>
      </c>
    </row>
    <row r="7" spans="1:8" x14ac:dyDescent="0.35">
      <c r="A7" s="5" t="s">
        <v>246</v>
      </c>
      <c r="B7" s="5" t="s">
        <v>247</v>
      </c>
      <c r="C7" s="25" t="s">
        <v>248</v>
      </c>
      <c r="D7" s="30" t="str">
        <f>IF(C7="disclosed","One ₹0.20 Cr batch, paid 6 May with ₹41,735 of interest","None outstanding at 30 June")</f>
        <v>One ₹0.20 Cr batch, paid 6 May with ₹41,735 of interest</v>
      </c>
      <c r="E7" s="5" t="s">
        <v>248</v>
      </c>
      <c r="F7" s="13">
        <f>IF(C7=E7,1,0)</f>
        <v>1</v>
      </c>
      <c r="G7" s="5" t="s">
        <v>137</v>
      </c>
      <c r="H7" s="13">
        <f>IF($C$10="Every answer",1,IF($C$10="Nothing",0,IF(G7="Yes",1,0)))</f>
        <v>1</v>
      </c>
    </row>
    <row r="8" spans="1:8" x14ac:dyDescent="0.35">
      <c r="A8" s="5" t="s">
        <v>249</v>
      </c>
      <c r="B8" s="5" t="s">
        <v>250</v>
      </c>
      <c r="C8" s="25" t="s">
        <v>251</v>
      </c>
      <c r="D8" s="30" t="str">
        <f>IF(C8="bridge","Volume, mix, price and marketing, as in the board pack","Marketing timing that reverses in Q2")</f>
        <v>Volume, mix, price and marketing, as in the board pack</v>
      </c>
      <c r="E8" s="5" t="s">
        <v>251</v>
      </c>
      <c r="F8" s="13">
        <f>IF(C8=E8,1,0)</f>
        <v>1</v>
      </c>
      <c r="G8" s="5" t="s">
        <v>239</v>
      </c>
      <c r="H8" s="13">
        <f>IF($C$10="Every answer",1,IF($C$10="Nothing",0,IF(G8="Yes",1,0)))</f>
        <v>0</v>
      </c>
    </row>
    <row r="10" spans="1:8" ht="87.5" x14ac:dyDescent="0.35">
      <c r="A10" s="5" t="s">
        <v>252</v>
      </c>
      <c r="C10" s="25" t="s">
        <v>253</v>
      </c>
    </row>
    <row r="11" spans="1:8" ht="78" x14ac:dyDescent="0.35">
      <c r="A11" s="11" t="s">
        <v>254</v>
      </c>
      <c r="F11" s="21">
        <f>SUM(F4:F8)/COUNT(F4:F8)</f>
        <v>1</v>
      </c>
    </row>
    <row r="12" spans="1:8" ht="65" x14ac:dyDescent="0.35">
      <c r="A12" s="11" t="s">
        <v>255</v>
      </c>
      <c r="H12" s="19">
        <f>SUM(H4:H8)</f>
        <v>3</v>
      </c>
    </row>
  </sheetData>
  <dataValidations count="6">
    <dataValidation type="list" sqref="C10" xr:uid="{00000000-0002-0000-0600-000000000000}">
      <formula1>"Price-moving,Nothing,Every answer"</formula1>
    </dataValidation>
    <dataValidation type="list" sqref="C4" xr:uid="{00000000-0002-0000-0600-000001000000}">
      <formula1>"mis,dashboard"</formula1>
    </dataValidation>
    <dataValidation type="list" sqref="C5" xr:uid="{00000000-0002-0000-0600-000002000000}">
      <formula1>"dictionary,growth"</formula1>
    </dataValidation>
    <dataValidation type="list" sqref="C6" xr:uid="{00000000-0002-0000-0600-000003000000}">
      <formula1>"cash,ebitda"</formula1>
    </dataValidation>
    <dataValidation type="list" sqref="C7" xr:uid="{00000000-0002-0000-0600-000004000000}">
      <formula1>"disclosed,none"</formula1>
    </dataValidation>
    <dataValidation type="list" sqref="C8" xr:uid="{00000000-0002-0000-0600-000005000000}">
      <formula1>"bridge,timing"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workbookViewId="0"/>
  </sheetViews>
  <sheetFormatPr defaultRowHeight="14.5" x14ac:dyDescent="0.35"/>
  <cols>
    <col min="1" max="1" width="22" customWidth="1"/>
    <col min="2" max="2" width="90" customWidth="1"/>
    <col min="3" max="3" width="44" customWidth="1"/>
  </cols>
  <sheetData>
    <row r="1" spans="1:3" ht="24" customHeight="1" x14ac:dyDescent="0.4">
      <c r="A1" s="1" t="s">
        <v>32</v>
      </c>
      <c r="B1" s="2"/>
      <c r="C1" s="2"/>
    </row>
    <row r="2" spans="1:3" x14ac:dyDescent="0.35">
      <c r="A2" s="3" t="s">
        <v>256</v>
      </c>
    </row>
    <row r="3" spans="1:3" x14ac:dyDescent="0.35">
      <c r="A3" s="9" t="s">
        <v>257</v>
      </c>
      <c r="B3" s="10" t="s">
        <v>258</v>
      </c>
      <c r="C3" s="10" t="s">
        <v>259</v>
      </c>
    </row>
    <row r="4" spans="1:3" x14ac:dyDescent="0.35">
      <c r="A4" s="11" t="s">
        <v>260</v>
      </c>
      <c r="B4" s="5" t="s">
        <v>261</v>
      </c>
      <c r="C4" s="5" t="s">
        <v>262</v>
      </c>
    </row>
    <row r="5" spans="1:3" x14ac:dyDescent="0.35">
      <c r="A5" s="11" t="s">
        <v>263</v>
      </c>
      <c r="B5" s="5" t="s">
        <v>264</v>
      </c>
      <c r="C5" s="5" t="s">
        <v>265</v>
      </c>
    </row>
    <row r="6" spans="1:3" x14ac:dyDescent="0.35">
      <c r="A6" s="11" t="s">
        <v>171</v>
      </c>
      <c r="B6" s="5" t="s">
        <v>266</v>
      </c>
      <c r="C6" s="5" t="s">
        <v>267</v>
      </c>
    </row>
    <row r="7" spans="1:3" x14ac:dyDescent="0.35">
      <c r="A7" s="11" t="s">
        <v>268</v>
      </c>
      <c r="B7" s="5" t="s">
        <v>269</v>
      </c>
      <c r="C7" s="5" t="s">
        <v>270</v>
      </c>
    </row>
    <row r="9" spans="1:3" x14ac:dyDescent="0.35">
      <c r="A9" s="4" t="s">
        <v>271</v>
      </c>
    </row>
    <row r="10" spans="1:3" ht="25" x14ac:dyDescent="0.35">
      <c r="A10" s="11" t="s">
        <v>272</v>
      </c>
      <c r="B10" s="5" t="s">
        <v>273</v>
      </c>
    </row>
    <row r="11" spans="1:3" ht="25" x14ac:dyDescent="0.35">
      <c r="A11" s="11" t="s">
        <v>66</v>
      </c>
      <c r="B11" s="5" t="s">
        <v>274</v>
      </c>
    </row>
    <row r="12" spans="1:3" ht="25" x14ac:dyDescent="0.35">
      <c r="A12" s="11" t="s">
        <v>275</v>
      </c>
      <c r="B12" s="5" t="s">
        <v>276</v>
      </c>
    </row>
    <row r="13" spans="1:3" ht="25" x14ac:dyDescent="0.35">
      <c r="A13" s="11" t="s">
        <v>277</v>
      </c>
      <c r="B13" s="5" t="s">
        <v>278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workbookViewId="0"/>
  </sheetViews>
  <sheetFormatPr defaultRowHeight="14.5" x14ac:dyDescent="0.35"/>
  <cols>
    <col min="1" max="1" width="44" customWidth="1"/>
    <col min="2" max="3" width="16" customWidth="1"/>
    <col min="4" max="4" width="14" customWidth="1"/>
    <col min="5" max="6" width="12" customWidth="1"/>
  </cols>
  <sheetData>
    <row r="1" spans="1:6" ht="24" customHeight="1" x14ac:dyDescent="0.4">
      <c r="A1" s="1" t="s">
        <v>279</v>
      </c>
      <c r="B1" s="2"/>
      <c r="C1" s="2"/>
      <c r="D1" s="2"/>
      <c r="E1" s="2"/>
      <c r="F1" s="2"/>
    </row>
    <row r="2" spans="1:6" x14ac:dyDescent="0.35">
      <c r="A2" s="3" t="s">
        <v>280</v>
      </c>
    </row>
    <row r="3" spans="1:6" x14ac:dyDescent="0.35">
      <c r="A3" s="9" t="s">
        <v>281</v>
      </c>
      <c r="B3" s="10" t="s">
        <v>282</v>
      </c>
      <c r="C3" s="10" t="s">
        <v>283</v>
      </c>
      <c r="D3" s="10" t="s">
        <v>284</v>
      </c>
      <c r="E3" s="10" t="s">
        <v>194</v>
      </c>
      <c r="F3" s="10" t="s">
        <v>285</v>
      </c>
    </row>
    <row r="4" spans="1:6" x14ac:dyDescent="0.35">
      <c r="A4" s="5" t="s">
        <v>286</v>
      </c>
      <c r="B4" s="17">
        <v>11.00475</v>
      </c>
      <c r="C4" s="29">
        <f>'02_Update'!E6</f>
        <v>11.00475</v>
      </c>
      <c r="D4" s="15">
        <f t="shared" ref="D4:D14" si="0">IF(ISNUMBER(C4),C4-B4,"")</f>
        <v>0</v>
      </c>
      <c r="E4" s="31" t="str">
        <f t="shared" ref="E4:E14" si="1">IF(NOT(ISNUMBER(C4)),"Not built",IF(ABS(D4)&lt;=F4+0.000000001,"Agrees","Check"))</f>
        <v>Agrees</v>
      </c>
      <c r="F4" s="17">
        <v>5.0000000000000001E-3</v>
      </c>
    </row>
    <row r="5" spans="1:6" x14ac:dyDescent="0.35">
      <c r="A5" s="5" t="s">
        <v>287</v>
      </c>
      <c r="B5" s="17">
        <v>18.299440000000001</v>
      </c>
      <c r="C5" s="29">
        <f>'04_KPI_Recon'!C13</f>
        <v>18.299439999999997</v>
      </c>
      <c r="D5" s="15">
        <f t="shared" si="0"/>
        <v>-3.5527136788005009E-15</v>
      </c>
      <c r="E5" s="31" t="str">
        <f t="shared" si="1"/>
        <v>Agrees</v>
      </c>
      <c r="F5" s="17">
        <v>5.0000000000000001E-3</v>
      </c>
    </row>
    <row r="6" spans="1:6" x14ac:dyDescent="0.35">
      <c r="A6" s="5" t="s">
        <v>288</v>
      </c>
      <c r="B6" s="12">
        <v>1650</v>
      </c>
      <c r="C6" s="28">
        <f>'02_Update'!B16</f>
        <v>1650</v>
      </c>
      <c r="D6" s="13">
        <f t="shared" si="0"/>
        <v>0</v>
      </c>
      <c r="E6" s="31" t="str">
        <f t="shared" si="1"/>
        <v>Agrees</v>
      </c>
      <c r="F6" s="12">
        <v>0.5</v>
      </c>
    </row>
    <row r="7" spans="1:6" x14ac:dyDescent="0.35">
      <c r="A7" s="5" t="s">
        <v>289</v>
      </c>
      <c r="B7" s="12">
        <v>1245</v>
      </c>
      <c r="C7" s="28">
        <f>'04_KPI_Recon'!C15</f>
        <v>1245</v>
      </c>
      <c r="D7" s="13">
        <f t="shared" si="0"/>
        <v>0</v>
      </c>
      <c r="E7" s="31" t="str">
        <f t="shared" si="1"/>
        <v>Agrees</v>
      </c>
      <c r="F7" s="12">
        <v>0.5</v>
      </c>
    </row>
    <row r="8" spans="1:6" x14ac:dyDescent="0.35">
      <c r="A8" s="5" t="s">
        <v>95</v>
      </c>
      <c r="B8" s="17">
        <v>27.954967</v>
      </c>
      <c r="C8" s="29">
        <f>'02_Update'!B23</f>
        <v>27.954967480361528</v>
      </c>
      <c r="D8" s="15">
        <f t="shared" si="0"/>
        <v>4.8036152833219603E-7</v>
      </c>
      <c r="E8" s="31" t="str">
        <f t="shared" si="1"/>
        <v>Agrees</v>
      </c>
      <c r="F8" s="17">
        <v>5.0000000000000001E-3</v>
      </c>
    </row>
    <row r="9" spans="1:6" x14ac:dyDescent="0.35">
      <c r="A9" s="5" t="s">
        <v>98</v>
      </c>
      <c r="B9" s="22">
        <v>0.196357</v>
      </c>
      <c r="C9" s="32">
        <f>'02_Update'!B26</f>
        <v>0.19635695328528224</v>
      </c>
      <c r="D9" s="18">
        <f t="shared" si="0"/>
        <v>-4.6714717760742985E-8</v>
      </c>
      <c r="E9" s="31" t="str">
        <f t="shared" si="1"/>
        <v>Agrees</v>
      </c>
      <c r="F9" s="22">
        <v>1E-3</v>
      </c>
    </row>
    <row r="10" spans="1:6" x14ac:dyDescent="0.35">
      <c r="A10" s="5" t="s">
        <v>290</v>
      </c>
      <c r="B10" s="12">
        <v>21</v>
      </c>
      <c r="C10" s="28">
        <f>DAY('02_Update'!B41)</f>
        <v>21</v>
      </c>
      <c r="D10" s="13">
        <f t="shared" si="0"/>
        <v>0</v>
      </c>
      <c r="E10" s="31" t="str">
        <f t="shared" si="1"/>
        <v>Agrees</v>
      </c>
      <c r="F10" s="12">
        <v>0</v>
      </c>
    </row>
    <row r="11" spans="1:6" x14ac:dyDescent="0.35">
      <c r="A11" s="5" t="s">
        <v>291</v>
      </c>
      <c r="B11" s="12">
        <v>29</v>
      </c>
      <c r="C11" s="28">
        <f>'03_Board_Pack'!B11</f>
        <v>29</v>
      </c>
      <c r="D11" s="13">
        <f t="shared" si="0"/>
        <v>0</v>
      </c>
      <c r="E11" s="31" t="str">
        <f t="shared" si="1"/>
        <v>Agrees</v>
      </c>
      <c r="F11" s="12">
        <v>0</v>
      </c>
    </row>
    <row r="12" spans="1:6" x14ac:dyDescent="0.35">
      <c r="A12" s="5" t="s">
        <v>292</v>
      </c>
      <c r="B12" s="12">
        <v>2</v>
      </c>
      <c r="C12" s="28">
        <f>'03_Board_Pack'!B19</f>
        <v>2</v>
      </c>
      <c r="D12" s="13">
        <f t="shared" si="0"/>
        <v>0</v>
      </c>
      <c r="E12" s="31" t="str">
        <f t="shared" si="1"/>
        <v>Agrees</v>
      </c>
      <c r="F12" s="12">
        <v>0</v>
      </c>
    </row>
    <row r="13" spans="1:6" x14ac:dyDescent="0.35">
      <c r="A13" s="5" t="s">
        <v>293</v>
      </c>
      <c r="B13" s="22">
        <v>0.894737</v>
      </c>
      <c r="C13" s="32">
        <f>'05_Data_Room'!D30</f>
        <v>0.89473684210526316</v>
      </c>
      <c r="D13" s="18">
        <f t="shared" si="0"/>
        <v>-1.5789473684080235E-7</v>
      </c>
      <c r="E13" s="31" t="str">
        <f t="shared" si="1"/>
        <v>Agrees</v>
      </c>
      <c r="F13" s="22">
        <v>5.0000000000000001E-4</v>
      </c>
    </row>
    <row r="14" spans="1:6" x14ac:dyDescent="0.35">
      <c r="A14" s="5" t="s">
        <v>294</v>
      </c>
      <c r="B14" s="22">
        <v>1</v>
      </c>
      <c r="C14" s="32">
        <f>'06_QA_Tracker'!F11</f>
        <v>1</v>
      </c>
      <c r="D14" s="18">
        <f t="shared" si="0"/>
        <v>0</v>
      </c>
      <c r="E14" s="31" t="str">
        <f t="shared" si="1"/>
        <v>Agrees</v>
      </c>
      <c r="F14" s="2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01_Case</vt:lpstr>
      <vt:lpstr>02_Update</vt:lpstr>
      <vt:lpstr>03_Board_Pack</vt:lpstr>
      <vt:lpstr>04_KPI_Recon</vt:lpstr>
      <vt:lpstr>05_Data_Room</vt:lpstr>
      <vt:lpstr>06_QA_Tracker</vt:lpstr>
      <vt:lpstr>07_Spec</vt:lpstr>
      <vt:lpstr>08_Answer_Check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Anbuselvan A S</cp:lastModifiedBy>
  <dcterms:created xsi:type="dcterms:W3CDTF">2026-09-24T22:56:16Z</dcterms:created>
  <dcterms:modified xsi:type="dcterms:W3CDTF">2026-09-24T22:56:18Z</dcterms:modified>
</cp:coreProperties>
</file>