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buselvan\Projects\Dissent Courses\studio\public\courses\unit-economics-and-cohorts\"/>
    </mc:Choice>
  </mc:AlternateContent>
  <xr:revisionPtr revIDLastSave="0" documentId="13_ncr:1_{C34A213E-BB47-4A6E-A657-4CC0155ECE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adMe" sheetId="1" r:id="rId1"/>
    <sheet name="01_Case" sheetId="2" r:id="rId2"/>
    <sheet name="02_Orders" sheetId="3" r:id="rId3"/>
    <sheet name="03_Channel_PnL" sheetId="4" r:id="rId4"/>
    <sheet name="04_CAC" sheetId="5" r:id="rId5"/>
    <sheet name="05_Cohorts" sheetId="6" r:id="rId6"/>
    <sheet name="06_Spec" sheetId="7" r:id="rId7"/>
    <sheet name="07_Answer_Check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6" l="1"/>
  <c r="C79" i="6"/>
  <c r="B79" i="6"/>
  <c r="D78" i="6"/>
  <c r="C78" i="6"/>
  <c r="B78" i="6"/>
  <c r="D77" i="6"/>
  <c r="C77" i="6"/>
  <c r="B77" i="6"/>
  <c r="D76" i="6"/>
  <c r="C76" i="6"/>
  <c r="B76" i="6"/>
  <c r="D75" i="6"/>
  <c r="C75" i="6"/>
  <c r="B75" i="6"/>
  <c r="D74" i="6"/>
  <c r="C74" i="6"/>
  <c r="B74" i="6"/>
  <c r="D73" i="6"/>
  <c r="C73" i="6"/>
  <c r="B73" i="6"/>
  <c r="D72" i="6"/>
  <c r="C72" i="6"/>
  <c r="B72" i="6"/>
  <c r="D71" i="6"/>
  <c r="C71" i="6"/>
  <c r="B71" i="6"/>
  <c r="D70" i="6"/>
  <c r="C70" i="6"/>
  <c r="B70" i="6"/>
  <c r="D69" i="6"/>
  <c r="C69" i="6"/>
  <c r="B69" i="6"/>
  <c r="D68" i="6"/>
  <c r="C68" i="6"/>
  <c r="B68" i="6"/>
  <c r="C67" i="6"/>
  <c r="B67" i="6"/>
  <c r="C66" i="6"/>
  <c r="B66" i="6"/>
  <c r="C65" i="6"/>
  <c r="B65" i="6"/>
  <c r="D65" i="6" s="1"/>
  <c r="C64" i="6"/>
  <c r="B64" i="6"/>
  <c r="D64" i="6" s="1"/>
  <c r="C63" i="6"/>
  <c r="B63" i="6"/>
  <c r="D63" i="6" s="1"/>
  <c r="C62" i="6"/>
  <c r="B62" i="6"/>
  <c r="D62" i="6" s="1"/>
  <c r="C61" i="6"/>
  <c r="B61" i="6"/>
  <c r="D61" i="6" s="1"/>
  <c r="C60" i="6"/>
  <c r="B60" i="6"/>
  <c r="D60" i="6" s="1"/>
  <c r="C59" i="6"/>
  <c r="B59" i="6"/>
  <c r="D59" i="6" s="1"/>
  <c r="C58" i="6"/>
  <c r="B58" i="6"/>
  <c r="D58" i="6" s="1"/>
  <c r="C57" i="6"/>
  <c r="D57" i="6" s="1"/>
  <c r="B57" i="6"/>
  <c r="C56" i="6"/>
  <c r="D56" i="6" s="1"/>
  <c r="B56" i="6"/>
  <c r="C55" i="6"/>
  <c r="B55" i="6"/>
  <c r="D55" i="6" s="1"/>
  <c r="C54" i="6"/>
  <c r="B54" i="6"/>
  <c r="D54" i="6" s="1"/>
  <c r="C53" i="6"/>
  <c r="B53" i="6"/>
  <c r="C52" i="6"/>
  <c r="B52" i="6"/>
  <c r="C51" i="6"/>
  <c r="B51" i="6"/>
  <c r="D51" i="6" s="1"/>
  <c r="C50" i="6"/>
  <c r="B50" i="6"/>
  <c r="D50" i="6" s="1"/>
  <c r="C49" i="6"/>
  <c r="B49" i="6"/>
  <c r="D49" i="6" s="1"/>
  <c r="C48" i="6"/>
  <c r="B48" i="6"/>
  <c r="D48" i="6" s="1"/>
  <c r="C47" i="6"/>
  <c r="B47" i="6"/>
  <c r="D47" i="6" s="1"/>
  <c r="C46" i="6"/>
  <c r="B46" i="6"/>
  <c r="C45" i="6"/>
  <c r="B45" i="6"/>
  <c r="D45" i="6" s="1"/>
  <c r="B38" i="6"/>
  <c r="B27" i="6"/>
  <c r="P26" i="6"/>
  <c r="O26" i="6"/>
  <c r="N26" i="6"/>
  <c r="M26" i="6"/>
  <c r="L26" i="6"/>
  <c r="K26" i="6"/>
  <c r="J26" i="6"/>
  <c r="I26" i="6"/>
  <c r="H26" i="6"/>
  <c r="G26" i="6"/>
  <c r="F26" i="6"/>
  <c r="E26" i="6"/>
  <c r="P25" i="6"/>
  <c r="O25" i="6"/>
  <c r="N25" i="6"/>
  <c r="M25" i="6"/>
  <c r="L25" i="6"/>
  <c r="K25" i="6"/>
  <c r="J25" i="6"/>
  <c r="I25" i="6"/>
  <c r="H25" i="6"/>
  <c r="G25" i="6"/>
  <c r="E25" i="6"/>
  <c r="F25" i="6" s="1"/>
  <c r="P24" i="6"/>
  <c r="O24" i="6"/>
  <c r="N24" i="6"/>
  <c r="M24" i="6"/>
  <c r="L24" i="6"/>
  <c r="K24" i="6"/>
  <c r="J24" i="6"/>
  <c r="I24" i="6"/>
  <c r="H24" i="6"/>
  <c r="E24" i="6"/>
  <c r="G24" i="6" s="1"/>
  <c r="P23" i="6"/>
  <c r="O23" i="6"/>
  <c r="N23" i="6"/>
  <c r="M23" i="6"/>
  <c r="L23" i="6"/>
  <c r="K23" i="6"/>
  <c r="J23" i="6"/>
  <c r="I23" i="6"/>
  <c r="E23" i="6"/>
  <c r="F23" i="6" s="1"/>
  <c r="P22" i="6"/>
  <c r="O22" i="6"/>
  <c r="N22" i="6"/>
  <c r="M22" i="6"/>
  <c r="L22" i="6"/>
  <c r="K22" i="6"/>
  <c r="J22" i="6"/>
  <c r="E22" i="6"/>
  <c r="H22" i="6" s="1"/>
  <c r="P21" i="6"/>
  <c r="O21" i="6"/>
  <c r="N21" i="6"/>
  <c r="M21" i="6"/>
  <c r="L21" i="6"/>
  <c r="K21" i="6"/>
  <c r="E21" i="6"/>
  <c r="P20" i="6"/>
  <c r="O20" i="6"/>
  <c r="N20" i="6"/>
  <c r="M20" i="6"/>
  <c r="L20" i="6"/>
  <c r="E20" i="6"/>
  <c r="G20" i="6" s="1"/>
  <c r="P19" i="6"/>
  <c r="O19" i="6"/>
  <c r="N19" i="6"/>
  <c r="M19" i="6"/>
  <c r="L19" i="6"/>
  <c r="K19" i="6"/>
  <c r="J19" i="6"/>
  <c r="I19" i="6"/>
  <c r="H19" i="6"/>
  <c r="F19" i="6"/>
  <c r="Q19" i="6" s="1"/>
  <c r="E19" i="6"/>
  <c r="G19" i="6" s="1"/>
  <c r="P18" i="6"/>
  <c r="O18" i="6"/>
  <c r="N18" i="6"/>
  <c r="E18" i="6"/>
  <c r="F18" i="6" s="1"/>
  <c r="P17" i="6"/>
  <c r="O17" i="6"/>
  <c r="E17" i="6"/>
  <c r="F17" i="6" s="1"/>
  <c r="P16" i="6"/>
  <c r="M16" i="6"/>
  <c r="K16" i="6"/>
  <c r="J16" i="6"/>
  <c r="I16" i="6"/>
  <c r="H16" i="6"/>
  <c r="G16" i="6"/>
  <c r="E16" i="6"/>
  <c r="L16" i="6" s="1"/>
  <c r="N15" i="6"/>
  <c r="M15" i="6"/>
  <c r="L15" i="6"/>
  <c r="K15" i="6"/>
  <c r="J15" i="6"/>
  <c r="I15" i="6"/>
  <c r="E15" i="6"/>
  <c r="O15" i="6" s="1"/>
  <c r="B84" i="5"/>
  <c r="B81" i="5"/>
  <c r="B79" i="5"/>
  <c r="B76" i="5"/>
  <c r="B74" i="5"/>
  <c r="B59" i="5"/>
  <c r="B56" i="5"/>
  <c r="B54" i="5"/>
  <c r="B51" i="5"/>
  <c r="B49" i="5"/>
  <c r="B34" i="5"/>
  <c r="B31" i="5"/>
  <c r="B29" i="5"/>
  <c r="B20" i="5"/>
  <c r="B19" i="5"/>
  <c r="C13" i="8" s="1"/>
  <c r="B18" i="5"/>
  <c r="B17" i="5"/>
  <c r="C12" i="8" s="1"/>
  <c r="B16" i="5"/>
  <c r="B14" i="5"/>
  <c r="B13" i="5"/>
  <c r="B71" i="5" s="1"/>
  <c r="B57" i="4"/>
  <c r="E29" i="4"/>
  <c r="D27" i="4"/>
  <c r="C27" i="4"/>
  <c r="B27" i="4"/>
  <c r="E27" i="4" s="1"/>
  <c r="C7" i="4"/>
  <c r="B7" i="4"/>
  <c r="D6" i="4"/>
  <c r="E6" i="4" s="1"/>
  <c r="C6" i="4"/>
  <c r="B6" i="4"/>
  <c r="D5" i="4"/>
  <c r="C5" i="4"/>
  <c r="B5" i="4"/>
  <c r="E5" i="4" s="1"/>
  <c r="C4" i="8" s="1"/>
  <c r="D44" i="3"/>
  <c r="C44" i="3"/>
  <c r="C11" i="4" s="1"/>
  <c r="B44" i="3"/>
  <c r="B11" i="4" s="1"/>
  <c r="D42" i="3"/>
  <c r="D21" i="4" s="1"/>
  <c r="C42" i="3"/>
  <c r="B42" i="3"/>
  <c r="D40" i="3"/>
  <c r="C40" i="3"/>
  <c r="B40" i="3"/>
  <c r="B21" i="4" s="1"/>
  <c r="D38" i="3"/>
  <c r="D39" i="3" s="1"/>
  <c r="C38" i="3"/>
  <c r="C8" i="4" s="1"/>
  <c r="B38" i="3"/>
  <c r="Q23" i="6" l="1"/>
  <c r="D19" i="4"/>
  <c r="D20" i="4"/>
  <c r="D66" i="6"/>
  <c r="G18" i="6"/>
  <c r="C39" i="3"/>
  <c r="C19" i="4" s="1"/>
  <c r="D67" i="6"/>
  <c r="G23" i="6"/>
  <c r="E21" i="4"/>
  <c r="M18" i="6"/>
  <c r="F24" i="6"/>
  <c r="D46" i="6"/>
  <c r="C9" i="4"/>
  <c r="B64" i="5"/>
  <c r="P15" i="6"/>
  <c r="D9" i="4"/>
  <c r="B41" i="5"/>
  <c r="B66" i="5"/>
  <c r="F15" i="6"/>
  <c r="G17" i="6"/>
  <c r="D52" i="6"/>
  <c r="B30" i="6" s="1"/>
  <c r="B31" i="6" s="1"/>
  <c r="D8" i="4"/>
  <c r="I22" i="6"/>
  <c r="B36" i="5"/>
  <c r="B12" i="6"/>
  <c r="H23" i="6"/>
  <c r="C21" i="4"/>
  <c r="B44" i="5"/>
  <c r="B69" i="5"/>
  <c r="G15" i="6"/>
  <c r="N17" i="6"/>
  <c r="K18" i="6"/>
  <c r="L18" i="6"/>
  <c r="B61" i="5"/>
  <c r="B39" i="5"/>
  <c r="B46" i="5"/>
  <c r="H15" i="6"/>
  <c r="D53" i="6"/>
  <c r="D13" i="8"/>
  <c r="E13" i="8"/>
  <c r="C41" i="3"/>
  <c r="D11" i="4"/>
  <c r="E11" i="4" s="1"/>
  <c r="B8" i="4"/>
  <c r="E8" i="4" s="1"/>
  <c r="B39" i="3"/>
  <c r="F20" i="6"/>
  <c r="Q25" i="6"/>
  <c r="D12" i="8"/>
  <c r="E12" i="8" s="1"/>
  <c r="J20" i="6"/>
  <c r="I20" i="6"/>
  <c r="K20" i="6"/>
  <c r="G21" i="6"/>
  <c r="F21" i="6"/>
  <c r="H21" i="6"/>
  <c r="J21" i="6"/>
  <c r="I21" i="6"/>
  <c r="Q24" i="6"/>
  <c r="D4" i="8"/>
  <c r="E4" i="8" s="1"/>
  <c r="B9" i="4"/>
  <c r="B82" i="5"/>
  <c r="B77" i="5"/>
  <c r="B72" i="5"/>
  <c r="B67" i="5"/>
  <c r="B62" i="5"/>
  <c r="B57" i="5"/>
  <c r="B52" i="5"/>
  <c r="B47" i="5"/>
  <c r="B42" i="5"/>
  <c r="B37" i="5"/>
  <c r="B32" i="5"/>
  <c r="B27" i="5"/>
  <c r="B83" i="5"/>
  <c r="B78" i="5"/>
  <c r="B73" i="5"/>
  <c r="B68" i="5"/>
  <c r="B63" i="5"/>
  <c r="B58" i="5"/>
  <c r="B53" i="5"/>
  <c r="B48" i="5"/>
  <c r="B43" i="5"/>
  <c r="B38" i="5"/>
  <c r="B33" i="5"/>
  <c r="B28" i="5"/>
  <c r="B85" i="5"/>
  <c r="B80" i="5"/>
  <c r="B75" i="5"/>
  <c r="B70" i="5"/>
  <c r="B65" i="5"/>
  <c r="B60" i="5"/>
  <c r="B55" i="5"/>
  <c r="B50" i="5"/>
  <c r="B45" i="5"/>
  <c r="B40" i="5"/>
  <c r="B35" i="5"/>
  <c r="B30" i="5"/>
  <c r="B11" i="6"/>
  <c r="H20" i="6"/>
  <c r="D22" i="4"/>
  <c r="D41" i="3"/>
  <c r="I17" i="6"/>
  <c r="H17" i="6"/>
  <c r="M17" i="6"/>
  <c r="L17" i="6"/>
  <c r="J17" i="6"/>
  <c r="K17" i="6"/>
  <c r="Q26" i="6"/>
  <c r="N16" i="6"/>
  <c r="H18" i="6"/>
  <c r="Q18" i="6" s="1"/>
  <c r="F22" i="6"/>
  <c r="O16" i="6"/>
  <c r="I18" i="6"/>
  <c r="G22" i="6"/>
  <c r="F16" i="6"/>
  <c r="J18" i="6"/>
  <c r="C22" i="4" l="1"/>
  <c r="Q15" i="6"/>
  <c r="C20" i="4"/>
  <c r="Q17" i="6"/>
  <c r="E9" i="4"/>
  <c r="D10" i="4"/>
  <c r="D43" i="3"/>
  <c r="D23" i="4"/>
  <c r="Q20" i="6"/>
  <c r="Q22" i="6"/>
  <c r="B41" i="3"/>
  <c r="B20" i="4"/>
  <c r="B19" i="4"/>
  <c r="E19" i="4" s="1"/>
  <c r="B22" i="4"/>
  <c r="E22" i="4" s="1"/>
  <c r="Q21" i="6"/>
  <c r="C10" i="4"/>
  <c r="C43" i="3"/>
  <c r="C23" i="4"/>
  <c r="Q16" i="6"/>
  <c r="Q27" i="6" l="1"/>
  <c r="E20" i="4"/>
  <c r="D12" i="4"/>
  <c r="D7" i="4"/>
  <c r="C24" i="4"/>
  <c r="C43" i="4" s="1"/>
  <c r="C44" i="4" s="1"/>
  <c r="C25" i="4"/>
  <c r="C33" i="4"/>
  <c r="C17" i="4"/>
  <c r="C12" i="4"/>
  <c r="C13" i="4"/>
  <c r="B10" i="4"/>
  <c r="B43" i="3"/>
  <c r="B58" i="4" s="1"/>
  <c r="B23" i="4"/>
  <c r="D33" i="4"/>
  <c r="D17" i="4"/>
  <c r="D25" i="4"/>
  <c r="D24" i="4"/>
  <c r="B12" i="4" l="1"/>
  <c r="E10" i="4"/>
  <c r="B13" i="4"/>
  <c r="C53" i="4"/>
  <c r="C47" i="4"/>
  <c r="C46" i="4"/>
  <c r="C42" i="4"/>
  <c r="C16" i="4"/>
  <c r="C36" i="4"/>
  <c r="C38" i="4"/>
  <c r="D38" i="4"/>
  <c r="D36" i="4"/>
  <c r="B45" i="4"/>
  <c r="E23" i="4"/>
  <c r="D13" i="4"/>
  <c r="E7" i="4"/>
  <c r="B25" i="4"/>
  <c r="E25" i="4" s="1"/>
  <c r="B24" i="4"/>
  <c r="E24" i="4" s="1"/>
  <c r="B17" i="4"/>
  <c r="E17" i="4" s="1"/>
  <c r="B33" i="4"/>
  <c r="D16" i="4"/>
  <c r="D47" i="4"/>
  <c r="D53" i="4"/>
  <c r="D42" i="4"/>
  <c r="D48" i="4" s="1"/>
  <c r="C48" i="4" l="1"/>
  <c r="C8" i="8" s="1"/>
  <c r="E33" i="4"/>
  <c r="B36" i="4"/>
  <c r="B38" i="4"/>
  <c r="C34" i="4"/>
  <c r="C18" i="4"/>
  <c r="D34" i="4"/>
  <c r="D18" i="4"/>
  <c r="B53" i="4"/>
  <c r="E12" i="4"/>
  <c r="B42" i="4"/>
  <c r="B48" i="4" s="1"/>
  <c r="B16" i="4"/>
  <c r="D8" i="8" l="1"/>
  <c r="E8" i="8" s="1"/>
  <c r="C5" i="8"/>
  <c r="B51" i="4"/>
  <c r="D35" i="4"/>
  <c r="D26" i="4"/>
  <c r="C35" i="4"/>
  <c r="C26" i="4"/>
  <c r="E16" i="4"/>
  <c r="B18" i="4"/>
  <c r="B34" i="4"/>
  <c r="B35" i="4" l="1"/>
  <c r="E18" i="4"/>
  <c r="B26" i="4"/>
  <c r="D37" i="4"/>
  <c r="D52" i="4" s="1"/>
  <c r="D28" i="4"/>
  <c r="D39" i="4" s="1"/>
  <c r="C11" i="8" s="1"/>
  <c r="C37" i="4"/>
  <c r="C28" i="4"/>
  <c r="C39" i="4" s="1"/>
  <c r="D5" i="8"/>
  <c r="E5" i="8" s="1"/>
  <c r="B12" i="5"/>
  <c r="B10" i="6"/>
  <c r="B33" i="6" s="1"/>
  <c r="C10" i="8" l="1"/>
  <c r="C52" i="4"/>
  <c r="E26" i="4"/>
  <c r="C6" i="8" s="1"/>
  <c r="B37" i="4"/>
  <c r="B28" i="4"/>
  <c r="D11" i="8"/>
  <c r="E11" i="8" s="1"/>
  <c r="B36" i="6"/>
  <c r="B35" i="6"/>
  <c r="B39" i="4" l="1"/>
  <c r="E28" i="4"/>
  <c r="D10" i="8"/>
  <c r="E10" i="8"/>
  <c r="D6" i="8"/>
  <c r="E6" i="8" s="1"/>
  <c r="C9" i="8"/>
  <c r="B59" i="4"/>
  <c r="B60" i="4" s="1"/>
  <c r="B52" i="4"/>
  <c r="B9" i="6"/>
  <c r="B11" i="5"/>
  <c r="B37" i="6" l="1"/>
  <c r="B32" i="6"/>
  <c r="D9" i="8"/>
  <c r="E9" i="8" s="1"/>
  <c r="E30" i="4"/>
  <c r="C7" i="8"/>
  <c r="C26" i="5"/>
  <c r="D26" i="5" s="1"/>
  <c r="B21" i="5"/>
  <c r="C49" i="5"/>
  <c r="C64" i="5"/>
  <c r="C76" i="5"/>
  <c r="C56" i="5"/>
  <c r="C66" i="5"/>
  <c r="C59" i="5"/>
  <c r="C74" i="5"/>
  <c r="C81" i="5"/>
  <c r="C44" i="5"/>
  <c r="C54" i="5"/>
  <c r="C51" i="5"/>
  <c r="C46" i="5"/>
  <c r="C69" i="5"/>
  <c r="C79" i="5"/>
  <c r="C31" i="5"/>
  <c r="C71" i="5"/>
  <c r="C84" i="5"/>
  <c r="C29" i="5"/>
  <c r="C41" i="5"/>
  <c r="C36" i="5"/>
  <c r="C34" i="5"/>
  <c r="C61" i="5"/>
  <c r="C39" i="5"/>
  <c r="C55" i="5"/>
  <c r="C57" i="5"/>
  <c r="C85" i="5"/>
  <c r="C60" i="5"/>
  <c r="C42" i="5"/>
  <c r="C65" i="5"/>
  <c r="C62" i="5"/>
  <c r="C75" i="5"/>
  <c r="C45" i="5"/>
  <c r="C50" i="5"/>
  <c r="C47" i="5"/>
  <c r="C72" i="5"/>
  <c r="C30" i="5"/>
  <c r="C35" i="5"/>
  <c r="C43" i="5"/>
  <c r="C77" i="5"/>
  <c r="C73" i="5"/>
  <c r="C32" i="5"/>
  <c r="C52" i="5"/>
  <c r="C78" i="5"/>
  <c r="C63" i="5"/>
  <c r="C80" i="5"/>
  <c r="C82" i="5"/>
  <c r="C48" i="5"/>
  <c r="C70" i="5"/>
  <c r="C40" i="5"/>
  <c r="C37" i="5"/>
  <c r="C28" i="5"/>
  <c r="C58" i="5"/>
  <c r="C67" i="5"/>
  <c r="C83" i="5"/>
  <c r="C38" i="5"/>
  <c r="C27" i="5"/>
  <c r="C33" i="5"/>
  <c r="C53" i="5"/>
  <c r="C68" i="5"/>
  <c r="E26" i="5" l="1"/>
  <c r="D27" i="5"/>
  <c r="D7" i="8"/>
  <c r="E7" i="8" s="1"/>
  <c r="C15" i="8"/>
  <c r="B34" i="6"/>
  <c r="C16" i="8" s="1"/>
  <c r="E27" i="5" l="1"/>
  <c r="D28" i="5"/>
  <c r="D16" i="8"/>
  <c r="E16" i="8" s="1"/>
  <c r="D15" i="8"/>
  <c r="E15" i="8" s="1"/>
  <c r="D29" i="5" l="1"/>
  <c r="E28" i="5"/>
  <c r="D30" i="5" l="1"/>
  <c r="E29" i="5"/>
  <c r="D31" i="5" l="1"/>
  <c r="E30" i="5"/>
  <c r="E31" i="5" l="1"/>
  <c r="D32" i="5"/>
  <c r="E32" i="5" l="1"/>
  <c r="D33" i="5"/>
  <c r="D34" i="5" l="1"/>
  <c r="E33" i="5"/>
  <c r="D35" i="5" l="1"/>
  <c r="E34" i="5"/>
  <c r="D36" i="5" l="1"/>
  <c r="E35" i="5"/>
  <c r="E36" i="5" l="1"/>
  <c r="D37" i="5"/>
  <c r="E37" i="5" l="1"/>
  <c r="D38" i="5"/>
  <c r="D39" i="5" l="1"/>
  <c r="E38" i="5"/>
  <c r="D40" i="5" l="1"/>
  <c r="E39" i="5"/>
  <c r="D41" i="5" l="1"/>
  <c r="E40" i="5"/>
  <c r="E41" i="5" l="1"/>
  <c r="D42" i="5"/>
  <c r="E42" i="5" l="1"/>
  <c r="D43" i="5"/>
  <c r="D44" i="5" l="1"/>
  <c r="E43" i="5"/>
  <c r="D45" i="5" l="1"/>
  <c r="E44" i="5"/>
  <c r="D46" i="5" l="1"/>
  <c r="E45" i="5"/>
  <c r="E46" i="5" l="1"/>
  <c r="D47" i="5"/>
  <c r="E47" i="5" l="1"/>
  <c r="D48" i="5"/>
  <c r="D49" i="5" l="1"/>
  <c r="E48" i="5"/>
  <c r="D50" i="5" l="1"/>
  <c r="E49" i="5"/>
  <c r="D51" i="5" l="1"/>
  <c r="E50" i="5"/>
  <c r="E51" i="5" l="1"/>
  <c r="D52" i="5"/>
  <c r="E52" i="5" l="1"/>
  <c r="D53" i="5"/>
  <c r="D54" i="5" l="1"/>
  <c r="E53" i="5"/>
  <c r="D55" i="5" l="1"/>
  <c r="E54" i="5"/>
  <c r="D56" i="5" l="1"/>
  <c r="E55" i="5"/>
  <c r="E56" i="5" l="1"/>
  <c r="D57" i="5"/>
  <c r="E57" i="5" l="1"/>
  <c r="D58" i="5"/>
  <c r="D59" i="5" l="1"/>
  <c r="E58" i="5"/>
  <c r="D60" i="5" l="1"/>
  <c r="E59" i="5"/>
  <c r="D61" i="5" l="1"/>
  <c r="E60" i="5"/>
  <c r="E61" i="5" l="1"/>
  <c r="D62" i="5"/>
  <c r="E62" i="5" l="1"/>
  <c r="D63" i="5"/>
  <c r="D64" i="5" l="1"/>
  <c r="E63" i="5"/>
  <c r="D65" i="5" l="1"/>
  <c r="E64" i="5"/>
  <c r="D66" i="5" l="1"/>
  <c r="E65" i="5"/>
  <c r="E66" i="5" l="1"/>
  <c r="D67" i="5"/>
  <c r="E67" i="5" l="1"/>
  <c r="D68" i="5"/>
  <c r="D69" i="5" l="1"/>
  <c r="E68" i="5"/>
  <c r="D70" i="5" l="1"/>
  <c r="E69" i="5"/>
  <c r="D71" i="5" l="1"/>
  <c r="E70" i="5"/>
  <c r="E71" i="5" l="1"/>
  <c r="D72" i="5"/>
  <c r="E72" i="5" l="1"/>
  <c r="D73" i="5"/>
  <c r="D74" i="5" l="1"/>
  <c r="E73" i="5"/>
  <c r="D75" i="5" l="1"/>
  <c r="E74" i="5"/>
  <c r="D76" i="5" l="1"/>
  <c r="E75" i="5"/>
  <c r="E76" i="5" l="1"/>
  <c r="D77" i="5"/>
  <c r="E77" i="5" l="1"/>
  <c r="D78" i="5"/>
  <c r="D79" i="5" l="1"/>
  <c r="E78" i="5"/>
  <c r="D80" i="5" l="1"/>
  <c r="E79" i="5"/>
  <c r="D81" i="5" l="1"/>
  <c r="E80" i="5"/>
  <c r="E81" i="5" l="1"/>
  <c r="D82" i="5"/>
  <c r="E82" i="5" l="1"/>
  <c r="D83" i="5"/>
  <c r="D84" i="5" l="1"/>
  <c r="E83" i="5"/>
  <c r="D85" i="5" l="1"/>
  <c r="E85" i="5" s="1"/>
  <c r="E84" i="5"/>
  <c r="B22" i="5" l="1"/>
  <c r="C14" i="8" s="1"/>
  <c r="D14" i="8" s="1"/>
  <c r="E14" i="8" s="1"/>
</calcChain>
</file>

<file path=xl/sharedStrings.xml><?xml version="1.0" encoding="utf-8"?>
<sst xmlns="http://schemas.openxmlformats.org/spreadsheetml/2006/main" count="316" uniqueCount="273">
  <si>
    <t>Kalasu Home Appliances Private Limited: unit economics workbook</t>
  </si>
  <si>
    <t>Unit Economics and Cohorts, Dissent Advisory. Fictional company; every figure is constructed for teaching. ₹ Cr unless a row says ₹ per order.</t>
  </si>
  <si>
    <t>How to use</t>
  </si>
  <si>
    <t>1</t>
  </si>
  <si>
    <t>Work alongside the course. Each worked example names the sheet it draws on.</t>
  </si>
  <si>
    <t>2</t>
  </si>
  <si>
    <t>Rebuild the channel economics yourself from 02_Orders, or give this workbook and the specification on 06_Spec to an AI tool.</t>
  </si>
  <si>
    <t>3</t>
  </si>
  <si>
    <t>Compare the results with 07_Answer_Check. It flags any figure that differs from the course by more than its tolerance.</t>
  </si>
  <si>
    <t>Colour legend</t>
  </si>
  <si>
    <t>Blue text</t>
  </si>
  <si>
    <t>Typed inputs from the case: orders, prices, costs, acquisition data. Change these, never the formulas.</t>
  </si>
  <si>
    <t>Black text</t>
  </si>
  <si>
    <t>Formulas.</t>
  </si>
  <si>
    <t>Green text</t>
  </si>
  <si>
    <t>Links to another sheet.</t>
  </si>
  <si>
    <t>Yellow fill</t>
  </si>
  <si>
    <t>Assumptions the course invites you to change, such as a new discount or the LTV horizon.</t>
  </si>
  <si>
    <t>Sheets</t>
  </si>
  <si>
    <t>01_Case</t>
  </si>
  <si>
    <t>Company facts, channels and the readings the course takes</t>
  </si>
  <si>
    <t>02_Orders</t>
  </si>
  <si>
    <t>FY26 orders, prices, discounts and costs by channel</t>
  </si>
  <si>
    <t>03_Channel_PnL</t>
  </si>
  <si>
    <t>GMV to revenue to cash, and CM1 to CM3 per kept order, with live checks</t>
  </si>
  <si>
    <t>04_CAC</t>
  </si>
  <si>
    <t>Acquisition spend, attribution windows, paid and blended CAC, payback</t>
  </si>
  <si>
    <t>05_Cohorts</t>
  </si>
  <si>
    <t>The FY26 cohort triangle and lifetime value on contribution</t>
  </si>
  <si>
    <t>06_Spec</t>
  </si>
  <si>
    <t>The KPI dictionary and the specification for an AI tool</t>
  </si>
  <si>
    <t>07_Answer_Check</t>
  </si>
  <si>
    <t>Your figures against the course</t>
  </si>
  <si>
    <t>Case facts</t>
  </si>
  <si>
    <t>Kalasu Home Appliances Private Limited, Bengaluru. FY26 is the year to 31 March 2026, audited, under Accounting Standards.</t>
  </si>
  <si>
    <t>Fact</t>
  </si>
  <si>
    <t>FY26</t>
  </si>
  <si>
    <t>Product</t>
  </si>
  <si>
    <t>Small kitchen appliances, GST at 18%</t>
  </si>
  <si>
    <t>GMV the founders quote, FY26</t>
  </si>
  <si>
    <t>₹49.12 Cr</t>
  </si>
  <si>
    <t>Net revenue, FY26</t>
  </si>
  <si>
    <t>₹30.00 Cr: website 40%, marketplaces 45%, quick commerce 15%</t>
  </si>
  <si>
    <t>Contribution after marketing (CM3)</t>
  </si>
  <si>
    <t>₹3.39 Cr (11.3%)</t>
  </si>
  <si>
    <t>EBITDA, FY26</t>
  </si>
  <si>
    <t>Loss of ₹4.53 Cr</t>
  </si>
  <si>
    <t>Series A, April 2025</t>
  </si>
  <si>
    <t>₹40.00 Cr from a domestic Category II AIF</t>
  </si>
  <si>
    <t>Cash and investments, 31 March 2026</t>
  </si>
  <si>
    <t>₹32.59 Cr</t>
  </si>
  <si>
    <t>Framework and tax</t>
  </si>
  <si>
    <t>Accounting Standards; Section 115BAA, now Section 200, 25.168%</t>
  </si>
  <si>
    <t>Headcount</t>
  </si>
  <si>
    <t>50, all in Bengaluru</t>
  </si>
  <si>
    <t>Readings the course takes</t>
  </si>
  <si>
    <t>Marketplace sales</t>
  </si>
  <si>
    <t>Kalasu is the principal (AS 9 paragraphs 4.1, 10 and 11; ICAI Guidance Note on Accounting by E-commerce Entities, paragraph 35). Revenue is the invoice to the customer; commission and fees are selling costs.</t>
  </si>
  <si>
    <t>Quick commerce</t>
  </si>
  <si>
    <t>An outright B2B sale to the platform at ₹1,800 a unit with no right of return. Revenue on delivery to the platform; the platform's sell-through is its revenue. A right to return unsold stock would make it a consignment.</t>
  </si>
  <si>
    <t>Returns</t>
  </si>
  <si>
    <t>Revenue is reduced by the returns experience says will follow, with the goods expected back held as a current asset (Guidance Note, paragraph 46).</t>
  </si>
  <si>
    <t>GST, TCS and TDS</t>
  </si>
  <si>
    <t>GST is excluded from revenue. TCS under Section 52 of the CGST Act and TDS under Section 194-O (Section 393(1) Table serial 8(v) of the 2025 Act) sit between revenue and cash.</t>
  </si>
  <si>
    <t>FY26 orders, prices and costs by channel</t>
  </si>
  <si>
    <t>Inputs in blue, from the case. ₹ per order unless a row says otherwise. Quick commerce counts units invoiced to the platform.</t>
  </si>
  <si>
    <t>Driver</t>
  </si>
  <si>
    <t>Website</t>
  </si>
  <si>
    <t>Marketplaces</t>
  </si>
  <si>
    <t>Unit</t>
  </si>
  <si>
    <t>Orders placed</t>
  </si>
  <si>
    <t>orders</t>
  </si>
  <si>
    <t>Cancelled before dispatch, share of orders placed</t>
  </si>
  <si>
    <t>%</t>
  </si>
  <si>
    <t>Returned to origin, share of orders placed</t>
  </si>
  <si>
    <t>Returned after delivery, share of orders placed</t>
  </si>
  <si>
    <t>List price before GST</t>
  </si>
  <si>
    <t>₹</t>
  </si>
  <si>
    <t>Discount Kalasu funds</t>
  </si>
  <si>
    <t>Landed cost per unit</t>
  </si>
  <si>
    <t>Write-off on a returned unit, share of landed cost</t>
  </si>
  <si>
    <t>Packaging per dispatched order</t>
  </si>
  <si>
    <t>Forward shipping per dispatched order</t>
  </si>
  <si>
    <t>Cost per order returned to origin</t>
  </si>
  <si>
    <t>Return pickup per returned order</t>
  </si>
  <si>
    <t>Pick and pack per dispatched order</t>
  </si>
  <si>
    <t>Prepaid share of delivered orders</t>
  </si>
  <si>
    <t>Gateway fee on prepaid orders, share of the price with GST</t>
  </si>
  <si>
    <t>Fee per cash-on-delivery order</t>
  </si>
  <si>
    <t>Marketplace commission, share of the price with GST</t>
  </si>
  <si>
    <t>Closing fee per delivered order</t>
  </si>
  <si>
    <t>Warranty per kept unit</t>
  </si>
  <si>
    <t>Performance marketing, ₹ Cr</t>
  </si>
  <si>
    <t>₹ Cr</t>
  </si>
  <si>
    <t>Rates and platform data</t>
  </si>
  <si>
    <t>GST rate</t>
  </si>
  <si>
    <t>TCS under Section 52, CGST Act</t>
  </si>
  <si>
    <t>TDS, Section 194-O / Section 393(1) Table serial 8(v)</t>
  </si>
  <si>
    <t>TDS on purchases, Section 194Q / Section 393(1) Table serial 8(ii)</t>
  </si>
  <si>
    <t>Purchase threshold for that TDS, ₹ Cr</t>
  </si>
  <si>
    <t>Quick commerce sell-through, units</t>
  </si>
  <si>
    <t>Quick commerce consumer price with GST, ₹</t>
  </si>
  <si>
    <t>Fixed costs, ₹ Cr</t>
  </si>
  <si>
    <t>Orders</t>
  </si>
  <si>
    <t>Cancelled</t>
  </si>
  <si>
    <t>Dispatched</t>
  </si>
  <si>
    <t>Returned to origin</t>
  </si>
  <si>
    <t>Delivered</t>
  </si>
  <si>
    <t>Returned after delivery</t>
  </si>
  <si>
    <t>Kept</t>
  </si>
  <si>
    <t>Invoice value per order, before GST, ₹</t>
  </si>
  <si>
    <t>Channel P&amp;L: GMV to revenue to cash, and contribution per kept order</t>
  </si>
  <si>
    <t>Formulas only, from 02_Orders. ₹ Cr unless a row says ₹ per order. Negative figures reduce the line above.</t>
  </si>
  <si>
    <t>GMV to revenue</t>
  </si>
  <si>
    <t>Total</t>
  </si>
  <si>
    <t>GMV as the founders count it</t>
  </si>
  <si>
    <t>GST inside GMV</t>
  </si>
  <si>
    <t>Discounts Kalasu funds; for quick commerce, the platform margin net of unsold units</t>
  </si>
  <si>
    <t>Cancelled before dispatch</t>
  </si>
  <si>
    <t>Returned to origin, undelivered</t>
  </si>
  <si>
    <t>Gross revenue, delivered orders</t>
  </si>
  <si>
    <t>Net revenue under AS 9</t>
  </si>
  <si>
    <t>Check: the bridge ties to delivered orders (zero)</t>
  </si>
  <si>
    <t>Contribution</t>
  </si>
  <si>
    <t>Net revenue</t>
  </si>
  <si>
    <t>Landed cost of kept units and write-offs</t>
  </si>
  <si>
    <t>CM1</t>
  </si>
  <si>
    <t>Packaging</t>
  </si>
  <si>
    <t>Forward shipping</t>
  </si>
  <si>
    <t>Reverse logistics</t>
  </si>
  <si>
    <t>Pick and pack</t>
  </si>
  <si>
    <t>Payment and COD fees</t>
  </si>
  <si>
    <t>Marketplace commission and closing fee</t>
  </si>
  <si>
    <t>Warranty</t>
  </si>
  <si>
    <t>CM2</t>
  </si>
  <si>
    <t>Performance marketing</t>
  </si>
  <si>
    <t>CM3</t>
  </si>
  <si>
    <t>Fixed costs</t>
  </si>
  <si>
    <t>EBITDA</t>
  </si>
  <si>
    <t>Per kept order, ₹</t>
  </si>
  <si>
    <t>Kept orders</t>
  </si>
  <si>
    <t>Revenue per kept order</t>
  </si>
  <si>
    <t>CM1 per kept order</t>
  </si>
  <si>
    <t>Fulfilment per kept order</t>
  </si>
  <si>
    <t>CM2 per kept order</t>
  </si>
  <si>
    <t>Marketing per kept order</t>
  </si>
  <si>
    <t>CM3 per kept order</t>
  </si>
  <si>
    <t>Between revenue and cash</t>
  </si>
  <si>
    <t>Collected on kept orders, with GST</t>
  </si>
  <si>
    <t>Marketplace commission, closing fee and shipping</t>
  </si>
  <si>
    <t>GST on those fees</t>
  </si>
  <si>
    <t>Payment gateway and COD fees</t>
  </si>
  <si>
    <t>TCS under Section 52</t>
  </si>
  <si>
    <t>TDS: Section 194-O on marketplaces, Section 194Q on quick commerce</t>
  </si>
  <si>
    <t>Cash settled to Kalasu, before GST is paid over</t>
  </si>
  <si>
    <t>Checks (each returns zero)</t>
  </si>
  <si>
    <t>Channel revenue sums to the total</t>
  </si>
  <si>
    <t>CM2 per kept order × kept orders equals CM2</t>
  </si>
  <si>
    <t>Net revenue equals kept orders × invoice value</t>
  </si>
  <si>
    <t>Discount block: the website coupon</t>
  </si>
  <si>
    <t>New website discount (change it)</t>
  </si>
  <si>
    <t>Change in invoice value per order, ₹</t>
  </si>
  <si>
    <t>Change in gateway fees per kept order, ₹</t>
  </si>
  <si>
    <t>New CM2 per kept order, ₹</t>
  </si>
  <si>
    <t>Breakeven change in kept orders</t>
  </si>
  <si>
    <t>Acquisition cost and payback, website</t>
  </si>
  <si>
    <t>Paid CAC divides acquisition spend by customers the ad platforms attribute to a paid click. Retention spend is not acquisition cost.</t>
  </si>
  <si>
    <t>Acquisition spend, ₹ Cr</t>
  </si>
  <si>
    <t>Retention spend, ₹ Cr (excluded from CAC)</t>
  </si>
  <si>
    <t>New customers attributed, 1-day click</t>
  </si>
  <si>
    <t>New customers attributed, 7-day click</t>
  </si>
  <si>
    <t>New customers attributed, 28-day click</t>
  </si>
  <si>
    <t>Organic and direct new customers</t>
  </si>
  <si>
    <t>Share of organic customers traced to paid exposure</t>
  </si>
  <si>
    <t>CM2 per kept website order, ₹</t>
  </si>
  <si>
    <t>Revenue per kept website order, ₹</t>
  </si>
  <si>
    <t>Repeat rate in the first month after acquisition</t>
  </si>
  <si>
    <t>Share of last month's repeat rate kept each month</t>
  </si>
  <si>
    <t>Paid CAC, 1-day click, ₹</t>
  </si>
  <si>
    <t>Paid CAC, 7-day click, ₹</t>
  </si>
  <si>
    <t>Paid CAC, 28-day click, ₹</t>
  </si>
  <si>
    <t>Blended CAC, ₹</t>
  </si>
  <si>
    <t>CAC with the traced halo credited, ₹</t>
  </si>
  <si>
    <t>The most a customer's repeat orders can add in CM2, ₹</t>
  </si>
  <si>
    <t>Payback month on paid CAC and CM2, counting the acquisition month as 1</t>
  </si>
  <si>
    <t>Month</t>
  </si>
  <si>
    <t>Orders in the month</t>
  </si>
  <si>
    <t>CM2 in the month, ₹</t>
  </si>
  <si>
    <t>Cumulative CM2, ₹</t>
  </si>
  <si>
    <t>Paid back</t>
  </si>
  <si>
    <t>Website cohorts and lifetime value</t>
  </si>
  <si>
    <t>FY26 cohorts from April 2025 to March 2026. Blank cells are months that had not happened by 31 March 2026.</t>
  </si>
  <si>
    <t>Repeat rate in the first month after acquisition, fitted</t>
  </si>
  <si>
    <t>Diwali cohort, first-month repeat rate</t>
  </si>
  <si>
    <t>LTV horizon, months counting the acquisition month</t>
  </si>
  <si>
    <t>Discount rate, a year</t>
  </si>
  <si>
    <t>Cohort</t>
  </si>
  <si>
    <t>Customers</t>
  </si>
  <si>
    <t>Months observed</t>
  </si>
  <si>
    <t>Quality</t>
  </si>
  <si>
    <t>First-month rate</t>
  </si>
  <si>
    <t>Repeat orders in FY26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</si>
  <si>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</si>
  <si>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</si>
  <si>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</si>
  <si>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</si>
  <si>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</si>
  <si>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</si>
  <si>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</si>
  <si>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</si>
  <si>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</si>
  <si>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</si>
  <si>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</si>
  <si>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</si>
  <si>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Lifetime value, fitted curve</t>
  </si>
  <si>
    <t>Value</t>
  </si>
  <si>
    <t>Repeat orders per customer over the horizon</t>
  </si>
  <si>
    <t>Kept orders per customer over the horizon</t>
  </si>
  <si>
    <t>LTV on CM2, ₹</t>
  </si>
  <si>
    <t>LTV on revenue, ₹</t>
  </si>
  <si>
    <t>LTV to paid CAC, on CM2</t>
  </si>
  <si>
    <t>LTV to paid CAC, on revenue (contrast only)</t>
  </si>
  <si>
    <t>LTV to blended CAC, on revenue (contrast only)</t>
  </si>
  <si>
    <t>LTV on CM2 over the 12 observed months, ₹</t>
  </si>
  <si>
    <t>Months of the horizon beyond the data</t>
  </si>
  <si>
    <t>Month after acquisition</t>
  </si>
  <si>
    <t>Repeat rate</t>
  </si>
  <si>
    <t>Discount factor</t>
  </si>
  <si>
    <t>Counted in the horizon</t>
  </si>
  <si>
    <t>KPI dictionary and the specification for an AI tool</t>
  </si>
  <si>
    <t>From Chapter V. Paste the specification into an AI tool with this workbook attached.</t>
  </si>
  <si>
    <t>Field</t>
  </si>
  <si>
    <t>Entry</t>
  </si>
  <si>
    <t>Net revenue by channel</t>
  </si>
  <si>
    <t>Kept orders × invoice value before GST, under AS 9, with Kalasu as principal on marketplaces and quick commerce at Kalasu's own invoices. Source: order management system reconciled to the ledger. Not GMV.</t>
  </si>
  <si>
    <t>Net revenue less landed cost and write-offs, less fulfilment (packaging, shipping, reverse logistics, pick and pack, payment and COD fees, marketplace commission and fees, warranty), divided by kept orders. Lost-order costs carried by kept orders.</t>
  </si>
  <si>
    <t>Paid CAC</t>
  </si>
  <si>
    <t>Website acquisition spend ÷ new customers attributed to a paid click within 7 days. Retention and brand spend excluded. Not blended CAC, which divides by all new customers.</t>
  </si>
  <si>
    <t>Payback</t>
  </si>
  <si>
    <t>The month, counting the acquisition month as 1, in which cumulative CM2 per customer first covers paid CAC, on the fitted repeat curve.</t>
  </si>
  <si>
    <t>LTV to CAC</t>
  </si>
  <si>
    <t>Kept orders per customer over 24 months × CM2 per kept order, ÷ paid CAC. State the observed months. Not revenue-based LTV and not blended CAC.</t>
  </si>
  <si>
    <t>Specification for an AI tool</t>
  </si>
  <si>
    <t>Framework</t>
  </si>
  <si>
    <t>Accounting Standards, not Ind AS. Revenue under AS 9; Kalasu is the principal on marketplaces; quick commerce is an outright sale at ₹1,800 a unit.</t>
  </si>
  <si>
    <t>Source</t>
  </si>
  <si>
    <t>Use only 02_Orders and 04_CAC. Write "missing" for any figure not in them.</t>
  </si>
  <si>
    <t>Outputs</t>
  </si>
  <si>
    <t>Revenue by channel with a bridge from GMV; CM1, CM2 and CM3 per kept order by channel; paid and blended CAC with the window; payback month on CM2; LTV on CM2 over 24 months with the observed months stated.</t>
  </si>
  <si>
    <t>Denominator</t>
  </si>
  <si>
    <t>Kept orders for every per-order figure. Carry the cost of cancelled, undelivered and returned orders.</t>
  </si>
  <si>
    <t>Checks</t>
  </si>
  <si>
    <t>Channel revenue sums to ₹30.00 Cr; CM2 per kept order × kept orders equals CM2; the GMV bridge ties to delivered orders.</t>
  </si>
  <si>
    <t>Answer check</t>
  </si>
  <si>
    <t>Course figures against this workbook's formulas. A status of Agrees means the difference is within the tolerance.</t>
  </si>
  <si>
    <t>Figure</t>
  </si>
  <si>
    <t>Course figure</t>
  </si>
  <si>
    <t>This workbook</t>
  </si>
  <si>
    <t>Difference</t>
  </si>
  <si>
    <t>Status</t>
  </si>
  <si>
    <t>Tolerance</t>
  </si>
  <si>
    <t>GMV, FY26</t>
  </si>
  <si>
    <t>CM2, FY26</t>
  </si>
  <si>
    <t>CM3, FY26</t>
  </si>
  <si>
    <t>Marketplace cash settled</t>
  </si>
  <si>
    <t>Website CM2 per kept order</t>
  </si>
  <si>
    <t>Marketplace CM2 per kept order</t>
  </si>
  <si>
    <t>Quick commerce CM3 per kept order</t>
  </si>
  <si>
    <t>Paid CAC, 7-day click</t>
  </si>
  <si>
    <t>Blended CAC</t>
  </si>
  <si>
    <t>Payback month on CM2</t>
  </si>
  <si>
    <t>LTV on CM2, 24 months</t>
  </si>
  <si>
    <t>LTV to paid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</si>
</sst>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\(#,##0\);&quot;-&quot;"/>
    <numFmt numFmtId="165" formatCode="0.0%;\(0.0%\);&quot;-&quot;"/>
    <numFmt numFmtId="166" formatCode="#,##0.00;\(#,##0.00\);&quot;-&quot;"/>
    <numFmt numFmtId="167" formatCode="&quot;M&quot;0"/>
    <numFmt numFmtId="168" formatCode="0.00&quot;x&quot;"/>
    <numFmt numFmtId="169" formatCode="0.0000"/>
  </numFmts>
  <fonts count="7" x14ac:knownFonts="1">
    <font>
      <sz val="11"/>
      <color theme="1"/>
      <name val="Calibri"/>
      <family val="2"/>
      <scheme val="minor"/>
    </font>
    <font>
      <b/>
      <sz val="14"/>
      <color rgb="FFF3F4F5"/>
      <name val="Arial"/>
    </font>
    <font>
      <sz val="9"/>
      <color rgb="FF41627D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FF"/>
      <name val="Arial"/>
    </font>
    <font>
      <sz val="10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C0C0F"/>
      </patternFill>
    </fill>
    <fill>
      <patternFill patternType="solid">
        <fgColor rgb="FFFFFF00"/>
      </patternFill>
    </fill>
    <fill>
      <patternFill patternType="solid">
        <fgColor rgb="FFEAEB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164" fontId="5" fillId="3" borderId="0" xfId="0" applyNumberFormat="1" applyFont="1" applyFill="1" applyAlignment="1">
      <alignment horizontal="right"/>
    </xf>
    <xf numFmtId="167" fontId="3" fillId="4" borderId="0" xfId="0" applyNumberFormat="1" applyFont="1" applyFill="1" applyAlignment="1">
      <alignment horizontal="right" vertical="center" wrapText="1"/>
    </xf>
    <xf numFmtId="2" fontId="5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8" fontId="5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4.5" x14ac:dyDescent="0.35"/>
  <cols>
    <col min="1" max="1" width="18" customWidth="1"/>
    <col min="2" max="2" width="110" customWidth="1"/>
  </cols>
  <sheetData>
    <row r="1" spans="1:2" ht="24" customHeight="1" x14ac:dyDescent="0.4">
      <c r="A1" s="1" t="s">
        <v>0</v>
      </c>
      <c r="B1" s="2"/>
    </row>
    <row r="2" spans="1:2" x14ac:dyDescent="0.35">
      <c r="A2" s="3" t="s">
        <v>1</v>
      </c>
    </row>
    <row r="4" spans="1:2" x14ac:dyDescent="0.35">
      <c r="A4" s="4" t="s">
        <v>2</v>
      </c>
    </row>
    <row r="5" spans="1:2" x14ac:dyDescent="0.35">
      <c r="A5" s="5" t="s">
        <v>3</v>
      </c>
      <c r="B5" s="5" t="s">
        <v>4</v>
      </c>
    </row>
    <row r="6" spans="1:2" x14ac:dyDescent="0.35">
      <c r="A6" s="5" t="s">
        <v>5</v>
      </c>
      <c r="B6" s="5" t="s">
        <v>6</v>
      </c>
    </row>
    <row r="7" spans="1:2" x14ac:dyDescent="0.35">
      <c r="A7" s="5" t="s">
        <v>7</v>
      </c>
      <c r="B7" s="5" t="s">
        <v>8</v>
      </c>
    </row>
    <row r="9" spans="1:2" x14ac:dyDescent="0.35">
      <c r="A9" s="4" t="s">
        <v>9</v>
      </c>
    </row>
    <row r="10" spans="1:2" x14ac:dyDescent="0.35">
      <c r="A10" s="6" t="s">
        <v>10</v>
      </c>
      <c r="B10" s="5" t="s">
        <v>11</v>
      </c>
    </row>
    <row r="11" spans="1:2" x14ac:dyDescent="0.35">
      <c r="A11" s="5" t="s">
        <v>12</v>
      </c>
      <c r="B11" s="5" t="s">
        <v>13</v>
      </c>
    </row>
    <row r="12" spans="1:2" x14ac:dyDescent="0.35">
      <c r="A12" s="7" t="s">
        <v>14</v>
      </c>
      <c r="B12" s="5" t="s">
        <v>15</v>
      </c>
    </row>
    <row r="13" spans="1:2" x14ac:dyDescent="0.35">
      <c r="A13" s="8" t="s">
        <v>16</v>
      </c>
      <c r="B13" s="5" t="s">
        <v>17</v>
      </c>
    </row>
    <row r="15" spans="1:2" x14ac:dyDescent="0.35">
      <c r="A15" s="4" t="s">
        <v>18</v>
      </c>
    </row>
    <row r="16" spans="1:2" x14ac:dyDescent="0.35">
      <c r="A16" s="5" t="s">
        <v>19</v>
      </c>
      <c r="B16" s="5" t="s">
        <v>20</v>
      </c>
    </row>
    <row r="17" spans="1:2" x14ac:dyDescent="0.35">
      <c r="A17" s="5" t="s">
        <v>21</v>
      </c>
      <c r="B17" s="5" t="s">
        <v>22</v>
      </c>
    </row>
    <row r="18" spans="1:2" x14ac:dyDescent="0.35">
      <c r="A18" s="5" t="s">
        <v>23</v>
      </c>
      <c r="B18" s="5" t="s">
        <v>24</v>
      </c>
    </row>
    <row r="19" spans="1:2" x14ac:dyDescent="0.35">
      <c r="A19" s="5" t="s">
        <v>25</v>
      </c>
      <c r="B19" s="5" t="s">
        <v>26</v>
      </c>
    </row>
    <row r="20" spans="1:2" x14ac:dyDescent="0.35">
      <c r="A20" s="5" t="s">
        <v>27</v>
      </c>
      <c r="B20" s="5" t="s">
        <v>28</v>
      </c>
    </row>
    <row r="21" spans="1:2" x14ac:dyDescent="0.35">
      <c r="A21" s="5" t="s">
        <v>29</v>
      </c>
      <c r="B21" s="5" t="s">
        <v>30</v>
      </c>
    </row>
    <row r="22" spans="1:2" x14ac:dyDescent="0.35">
      <c r="A22" s="5" t="s">
        <v>31</v>
      </c>
      <c r="B22" s="5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RowHeight="14.5" x14ac:dyDescent="0.35"/>
  <cols>
    <col min="1" max="1" width="34" customWidth="1"/>
    <col min="2" max="2" width="100" customWidth="1"/>
  </cols>
  <sheetData>
    <row r="1" spans="1:2" ht="24" customHeight="1" x14ac:dyDescent="0.4">
      <c r="A1" s="1" t="s">
        <v>33</v>
      </c>
      <c r="B1" s="2"/>
    </row>
    <row r="2" spans="1:2" x14ac:dyDescent="0.35">
      <c r="A2" s="3" t="s">
        <v>34</v>
      </c>
    </row>
    <row r="3" spans="1:2" x14ac:dyDescent="0.35">
      <c r="A3" s="9" t="s">
        <v>35</v>
      </c>
      <c r="B3" s="10" t="s">
        <v>36</v>
      </c>
    </row>
    <row r="4" spans="1:2" x14ac:dyDescent="0.35">
      <c r="A4" s="5" t="s">
        <v>37</v>
      </c>
      <c r="B4" s="5" t="s">
        <v>38</v>
      </c>
    </row>
    <row r="5" spans="1:2" x14ac:dyDescent="0.35">
      <c r="A5" s="5" t="s">
        <v>39</v>
      </c>
      <c r="B5" s="5" t="s">
        <v>40</v>
      </c>
    </row>
    <row r="6" spans="1:2" x14ac:dyDescent="0.35">
      <c r="A6" s="5" t="s">
        <v>41</v>
      </c>
      <c r="B6" s="5" t="s">
        <v>42</v>
      </c>
    </row>
    <row r="7" spans="1:2" x14ac:dyDescent="0.35">
      <c r="A7" s="5" t="s">
        <v>43</v>
      </c>
      <c r="B7" s="5" t="s">
        <v>44</v>
      </c>
    </row>
    <row r="8" spans="1:2" x14ac:dyDescent="0.35">
      <c r="A8" s="5" t="s">
        <v>45</v>
      </c>
      <c r="B8" s="5" t="s">
        <v>46</v>
      </c>
    </row>
    <row r="9" spans="1:2" x14ac:dyDescent="0.35">
      <c r="A9" s="5" t="s">
        <v>47</v>
      </c>
      <c r="B9" s="5" t="s">
        <v>48</v>
      </c>
    </row>
    <row r="10" spans="1:2" x14ac:dyDescent="0.35">
      <c r="A10" s="5" t="s">
        <v>49</v>
      </c>
      <c r="B10" s="5" t="s">
        <v>50</v>
      </c>
    </row>
    <row r="11" spans="1:2" x14ac:dyDescent="0.35">
      <c r="A11" s="5" t="s">
        <v>51</v>
      </c>
      <c r="B11" s="5" t="s">
        <v>52</v>
      </c>
    </row>
    <row r="12" spans="1:2" x14ac:dyDescent="0.35">
      <c r="A12" s="5" t="s">
        <v>53</v>
      </c>
      <c r="B12" s="5" t="s">
        <v>54</v>
      </c>
    </row>
    <row r="14" spans="1:2" x14ac:dyDescent="0.35">
      <c r="A14" s="4" t="s">
        <v>55</v>
      </c>
    </row>
    <row r="15" spans="1:2" ht="25" x14ac:dyDescent="0.35">
      <c r="A15" s="11" t="s">
        <v>56</v>
      </c>
      <c r="B15" s="5" t="s">
        <v>57</v>
      </c>
    </row>
    <row r="16" spans="1:2" ht="25" x14ac:dyDescent="0.35">
      <c r="A16" s="11" t="s">
        <v>58</v>
      </c>
      <c r="B16" s="5" t="s">
        <v>59</v>
      </c>
    </row>
    <row r="17" spans="1:2" ht="25" x14ac:dyDescent="0.35">
      <c r="A17" s="11" t="s">
        <v>60</v>
      </c>
      <c r="B17" s="5" t="s">
        <v>61</v>
      </c>
    </row>
    <row r="18" spans="1:2" ht="25" x14ac:dyDescent="0.35">
      <c r="A18" s="11" t="s">
        <v>62</v>
      </c>
      <c r="B18" s="5" t="s">
        <v>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58" customWidth="1"/>
    <col min="2" max="3" width="14" customWidth="1"/>
    <col min="4" max="4" width="16" customWidth="1"/>
    <col min="5" max="5" width="10" customWidth="1"/>
  </cols>
  <sheetData>
    <row r="1" spans="1:5" ht="24" customHeight="1" x14ac:dyDescent="0.4">
      <c r="A1" s="1" t="s">
        <v>64</v>
      </c>
      <c r="B1" s="2"/>
      <c r="C1" s="2"/>
      <c r="D1" s="2"/>
      <c r="E1" s="2"/>
    </row>
    <row r="2" spans="1:5" x14ac:dyDescent="0.35">
      <c r="A2" s="3" t="s">
        <v>65</v>
      </c>
    </row>
    <row r="4" spans="1:5" x14ac:dyDescent="0.35">
      <c r="A4" s="9" t="s">
        <v>66</v>
      </c>
      <c r="B4" s="10" t="s">
        <v>67</v>
      </c>
      <c r="C4" s="10" t="s">
        <v>68</v>
      </c>
      <c r="D4" s="10" t="s">
        <v>58</v>
      </c>
      <c r="E4" s="10" t="s">
        <v>69</v>
      </c>
    </row>
    <row r="5" spans="1:5" x14ac:dyDescent="0.35">
      <c r="A5" s="5" t="s">
        <v>70</v>
      </c>
      <c r="B5" s="12">
        <v>62500</v>
      </c>
      <c r="C5" s="12">
        <v>80000</v>
      </c>
      <c r="D5" s="12">
        <v>25500</v>
      </c>
      <c r="E5" s="5" t="s">
        <v>71</v>
      </c>
    </row>
    <row r="6" spans="1:5" x14ac:dyDescent="0.35">
      <c r="A6" s="5" t="s">
        <v>72</v>
      </c>
      <c r="B6" s="13">
        <v>0.05</v>
      </c>
      <c r="C6" s="13">
        <v>0.05</v>
      </c>
      <c r="D6" s="13">
        <v>0</v>
      </c>
      <c r="E6" s="5" t="s">
        <v>73</v>
      </c>
    </row>
    <row r="7" spans="1:5" x14ac:dyDescent="0.35">
      <c r="A7" s="5" t="s">
        <v>74</v>
      </c>
      <c r="B7" s="13">
        <v>0.1</v>
      </c>
      <c r="C7" s="13">
        <v>0.05</v>
      </c>
      <c r="D7" s="13">
        <v>0</v>
      </c>
      <c r="E7" s="5" t="s">
        <v>73</v>
      </c>
    </row>
    <row r="8" spans="1:5" x14ac:dyDescent="0.35">
      <c r="A8" s="5" t="s">
        <v>75</v>
      </c>
      <c r="B8" s="13">
        <v>0.05</v>
      </c>
      <c r="C8" s="13">
        <v>0.15</v>
      </c>
      <c r="D8" s="14">
        <v>1.9607843137254902E-2</v>
      </c>
      <c r="E8" s="5" t="s">
        <v>73</v>
      </c>
    </row>
    <row r="9" spans="1:5" x14ac:dyDescent="0.35">
      <c r="A9" s="5" t="s">
        <v>76</v>
      </c>
      <c r="B9" s="12">
        <v>2500</v>
      </c>
      <c r="C9" s="12">
        <v>2500</v>
      </c>
      <c r="D9" s="12">
        <v>1800</v>
      </c>
      <c r="E9" s="5" t="s">
        <v>77</v>
      </c>
    </row>
    <row r="10" spans="1:5" x14ac:dyDescent="0.35">
      <c r="A10" s="5" t="s">
        <v>78</v>
      </c>
      <c r="B10" s="13">
        <v>0.04</v>
      </c>
      <c r="C10" s="13">
        <v>0.1</v>
      </c>
      <c r="D10" s="13">
        <v>0</v>
      </c>
      <c r="E10" s="5" t="s">
        <v>73</v>
      </c>
    </row>
    <row r="11" spans="1:5" x14ac:dyDescent="0.35">
      <c r="A11" s="5" t="s">
        <v>79</v>
      </c>
      <c r="B11" s="12">
        <v>1000</v>
      </c>
      <c r="C11" s="12">
        <v>1000</v>
      </c>
      <c r="D11" s="12">
        <v>1000</v>
      </c>
      <c r="E11" s="5" t="s">
        <v>77</v>
      </c>
    </row>
    <row r="12" spans="1:5" x14ac:dyDescent="0.35">
      <c r="A12" s="5" t="s">
        <v>80</v>
      </c>
      <c r="B12" s="13">
        <v>0.16</v>
      </c>
      <c r="C12" s="13">
        <v>0.2</v>
      </c>
      <c r="D12" s="13">
        <v>0.2</v>
      </c>
      <c r="E12" s="5" t="s">
        <v>73</v>
      </c>
    </row>
    <row r="13" spans="1:5" x14ac:dyDescent="0.35">
      <c r="A13" s="5" t="s">
        <v>81</v>
      </c>
      <c r="B13" s="12">
        <v>40</v>
      </c>
      <c r="C13" s="12">
        <v>40</v>
      </c>
      <c r="D13" s="12">
        <v>40</v>
      </c>
      <c r="E13" s="5" t="s">
        <v>77</v>
      </c>
    </row>
    <row r="14" spans="1:5" x14ac:dyDescent="0.35">
      <c r="A14" s="5" t="s">
        <v>82</v>
      </c>
      <c r="B14" s="12">
        <v>120</v>
      </c>
      <c r="C14" s="12">
        <v>110</v>
      </c>
      <c r="D14" s="12">
        <v>30</v>
      </c>
      <c r="E14" s="5" t="s">
        <v>77</v>
      </c>
    </row>
    <row r="15" spans="1:5" x14ac:dyDescent="0.35">
      <c r="A15" s="5" t="s">
        <v>83</v>
      </c>
      <c r="B15" s="12">
        <v>80</v>
      </c>
      <c r="C15" s="12">
        <v>50</v>
      </c>
      <c r="D15" s="12">
        <v>0</v>
      </c>
      <c r="E15" s="5" t="s">
        <v>77</v>
      </c>
    </row>
    <row r="16" spans="1:5" x14ac:dyDescent="0.35">
      <c r="A16" s="5" t="s">
        <v>84</v>
      </c>
      <c r="B16" s="12">
        <v>160</v>
      </c>
      <c r="C16" s="12">
        <v>110</v>
      </c>
      <c r="D16" s="12">
        <v>0</v>
      </c>
      <c r="E16" s="5" t="s">
        <v>77</v>
      </c>
    </row>
    <row r="17" spans="1:5" x14ac:dyDescent="0.35">
      <c r="A17" s="5" t="s">
        <v>85</v>
      </c>
      <c r="B17" s="12">
        <v>30</v>
      </c>
      <c r="C17" s="12">
        <v>30</v>
      </c>
      <c r="D17" s="12">
        <v>10</v>
      </c>
      <c r="E17" s="5" t="s">
        <v>77</v>
      </c>
    </row>
    <row r="18" spans="1:5" x14ac:dyDescent="0.35">
      <c r="A18" s="5" t="s">
        <v>86</v>
      </c>
      <c r="B18" s="13">
        <v>0.6</v>
      </c>
      <c r="C18" s="13">
        <v>1</v>
      </c>
      <c r="D18" s="13">
        <v>1</v>
      </c>
      <c r="E18" s="5" t="s">
        <v>73</v>
      </c>
    </row>
    <row r="19" spans="1:5" x14ac:dyDescent="0.35">
      <c r="A19" s="5" t="s">
        <v>87</v>
      </c>
      <c r="B19" s="13">
        <v>0.02</v>
      </c>
      <c r="C19" s="13">
        <v>0</v>
      </c>
      <c r="D19" s="13">
        <v>0</v>
      </c>
      <c r="E19" s="5" t="s">
        <v>73</v>
      </c>
    </row>
    <row r="20" spans="1:5" x14ac:dyDescent="0.35">
      <c r="A20" s="5" t="s">
        <v>88</v>
      </c>
      <c r="B20" s="12">
        <v>40</v>
      </c>
      <c r="C20" s="12">
        <v>0</v>
      </c>
      <c r="D20" s="12">
        <v>0</v>
      </c>
      <c r="E20" s="5" t="s">
        <v>77</v>
      </c>
    </row>
    <row r="21" spans="1:5" x14ac:dyDescent="0.35">
      <c r="A21" s="5" t="s">
        <v>89</v>
      </c>
      <c r="B21" s="13">
        <v>0</v>
      </c>
      <c r="C21" s="13">
        <v>0.14000000000000001</v>
      </c>
      <c r="D21" s="13">
        <v>0</v>
      </c>
      <c r="E21" s="5" t="s">
        <v>73</v>
      </c>
    </row>
    <row r="22" spans="1:5" x14ac:dyDescent="0.35">
      <c r="A22" s="5" t="s">
        <v>90</v>
      </c>
      <c r="B22" s="12">
        <v>0</v>
      </c>
      <c r="C22" s="12">
        <v>25</v>
      </c>
      <c r="D22" s="12">
        <v>0</v>
      </c>
      <c r="E22" s="5" t="s">
        <v>77</v>
      </c>
    </row>
    <row r="23" spans="1:5" x14ac:dyDescent="0.35">
      <c r="A23" s="5" t="s">
        <v>91</v>
      </c>
      <c r="B23" s="12">
        <v>30</v>
      </c>
      <c r="C23" s="12">
        <v>30</v>
      </c>
      <c r="D23" s="12">
        <v>30</v>
      </c>
      <c r="E23" s="5" t="s">
        <v>77</v>
      </c>
    </row>
    <row r="24" spans="1:5" x14ac:dyDescent="0.35">
      <c r="A24" s="5" t="s">
        <v>92</v>
      </c>
      <c r="B24" s="15">
        <v>4.8</v>
      </c>
      <c r="C24" s="15">
        <v>1.62</v>
      </c>
      <c r="D24" s="15">
        <v>0.36</v>
      </c>
      <c r="E24" s="5" t="s">
        <v>93</v>
      </c>
    </row>
    <row r="26" spans="1:5" x14ac:dyDescent="0.35">
      <c r="A26" s="4" t="s">
        <v>94</v>
      </c>
    </row>
    <row r="27" spans="1:5" x14ac:dyDescent="0.35">
      <c r="A27" s="5" t="s">
        <v>95</v>
      </c>
      <c r="B27" s="13">
        <v>0.18</v>
      </c>
    </row>
    <row r="28" spans="1:5" x14ac:dyDescent="0.35">
      <c r="A28" s="5" t="s">
        <v>96</v>
      </c>
      <c r="B28" s="13">
        <v>5.0000000000000001E-3</v>
      </c>
    </row>
    <row r="29" spans="1:5" x14ac:dyDescent="0.35">
      <c r="A29" s="5" t="s">
        <v>97</v>
      </c>
      <c r="B29" s="13">
        <v>1E-3</v>
      </c>
    </row>
    <row r="30" spans="1:5" x14ac:dyDescent="0.35">
      <c r="A30" s="5" t="s">
        <v>98</v>
      </c>
      <c r="B30" s="13">
        <v>1E-3</v>
      </c>
    </row>
    <row r="31" spans="1:5" x14ac:dyDescent="0.35">
      <c r="A31" s="5" t="s">
        <v>99</v>
      </c>
      <c r="B31" s="15">
        <v>0.5</v>
      </c>
    </row>
    <row r="32" spans="1:5" x14ac:dyDescent="0.35">
      <c r="A32" s="5" t="s">
        <v>100</v>
      </c>
      <c r="B32" s="12">
        <v>24000</v>
      </c>
    </row>
    <row r="33" spans="1:4" x14ac:dyDescent="0.35">
      <c r="A33" s="5" t="s">
        <v>101</v>
      </c>
      <c r="B33" s="12">
        <v>2950</v>
      </c>
    </row>
    <row r="34" spans="1:4" x14ac:dyDescent="0.35">
      <c r="A34" s="5" t="s">
        <v>102</v>
      </c>
      <c r="B34" s="15">
        <v>7.9200000000000008</v>
      </c>
    </row>
    <row r="36" spans="1:4" x14ac:dyDescent="0.35">
      <c r="A36" s="4" t="s">
        <v>103</v>
      </c>
    </row>
    <row r="37" spans="1:4" x14ac:dyDescent="0.35">
      <c r="A37" s="9"/>
      <c r="B37" s="10" t="s">
        <v>67</v>
      </c>
      <c r="C37" s="10" t="s">
        <v>68</v>
      </c>
      <c r="D37" s="10" t="s">
        <v>58</v>
      </c>
    </row>
    <row r="38" spans="1:4" x14ac:dyDescent="0.35">
      <c r="A38" s="5" t="s">
        <v>104</v>
      </c>
      <c r="B38" s="16">
        <f>B5*B6</f>
        <v>3125</v>
      </c>
      <c r="C38" s="16">
        <f>C5*C6</f>
        <v>4000</v>
      </c>
      <c r="D38" s="16">
        <f>D5*D6</f>
        <v>0</v>
      </c>
    </row>
    <row r="39" spans="1:4" x14ac:dyDescent="0.35">
      <c r="A39" s="5" t="s">
        <v>105</v>
      </c>
      <c r="B39" s="16">
        <f>B5-B38</f>
        <v>59375</v>
      </c>
      <c r="C39" s="16">
        <f>C5-C38</f>
        <v>76000</v>
      </c>
      <c r="D39" s="16">
        <f>D5-D38</f>
        <v>25500</v>
      </c>
    </row>
    <row r="40" spans="1:4" x14ac:dyDescent="0.35">
      <c r="A40" s="5" t="s">
        <v>106</v>
      </c>
      <c r="B40" s="16">
        <f>B5*B7</f>
        <v>6250</v>
      </c>
      <c r="C40" s="16">
        <f>C5*C7</f>
        <v>4000</v>
      </c>
      <c r="D40" s="16">
        <f>D5*D7</f>
        <v>0</v>
      </c>
    </row>
    <row r="41" spans="1:4" x14ac:dyDescent="0.35">
      <c r="A41" s="5" t="s">
        <v>107</v>
      </c>
      <c r="B41" s="16">
        <f>B39-B40</f>
        <v>53125</v>
      </c>
      <c r="C41" s="16">
        <f>C39-C40</f>
        <v>72000</v>
      </c>
      <c r="D41" s="16">
        <f>D39-D40</f>
        <v>25500</v>
      </c>
    </row>
    <row r="42" spans="1:4" x14ac:dyDescent="0.35">
      <c r="A42" s="5" t="s">
        <v>108</v>
      </c>
      <c r="B42" s="16">
        <f>B5*B8</f>
        <v>3125</v>
      </c>
      <c r="C42" s="16">
        <f>C5*C8</f>
        <v>12000</v>
      </c>
      <c r="D42" s="16">
        <f>D5*D8</f>
        <v>500</v>
      </c>
    </row>
    <row r="43" spans="1:4" x14ac:dyDescent="0.35">
      <c r="A43" s="5" t="s">
        <v>109</v>
      </c>
      <c r="B43" s="16">
        <f>B41-B42</f>
        <v>50000</v>
      </c>
      <c r="C43" s="16">
        <f>C41-C42</f>
        <v>60000</v>
      </c>
      <c r="D43" s="16">
        <f>D41-D42</f>
        <v>25000</v>
      </c>
    </row>
    <row r="44" spans="1:4" x14ac:dyDescent="0.35">
      <c r="A44" s="5" t="s">
        <v>110</v>
      </c>
      <c r="B44" s="16">
        <f>B9*(1-B10)</f>
        <v>2400</v>
      </c>
      <c r="C44" s="16">
        <f>C9*(1-C10)</f>
        <v>2250</v>
      </c>
      <c r="D44" s="16">
        <f>D9*(1-D10)</f>
        <v>1800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0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62" customWidth="1"/>
    <col min="2" max="3" width="14" customWidth="1"/>
    <col min="4" max="4" width="16" customWidth="1"/>
    <col min="5" max="5" width="14" customWidth="1"/>
  </cols>
  <sheetData>
    <row r="1" spans="1:5" ht="24" customHeight="1" x14ac:dyDescent="0.4">
      <c r="A1" s="1" t="s">
        <v>111</v>
      </c>
      <c r="B1" s="2"/>
      <c r="C1" s="2"/>
      <c r="D1" s="2"/>
      <c r="E1" s="2"/>
    </row>
    <row r="2" spans="1:5" x14ac:dyDescent="0.35">
      <c r="A2" s="3" t="s">
        <v>112</v>
      </c>
    </row>
    <row r="4" spans="1:5" x14ac:dyDescent="0.35">
      <c r="A4" s="9" t="s">
        <v>113</v>
      </c>
      <c r="B4" s="10" t="s">
        <v>67</v>
      </c>
      <c r="C4" s="10" t="s">
        <v>68</v>
      </c>
      <c r="D4" s="10" t="s">
        <v>58</v>
      </c>
      <c r="E4" s="10" t="s">
        <v>114</v>
      </c>
    </row>
    <row r="5" spans="1:5" x14ac:dyDescent="0.35">
      <c r="A5" s="5" t="s">
        <v>115</v>
      </c>
      <c r="B5" s="17">
        <f>'02_Orders'!B5*'02_Orders'!B9*(1+'02_Orders'!$B$27)/10000000</f>
        <v>18.4375</v>
      </c>
      <c r="C5" s="17">
        <f>'02_Orders'!C5*'02_Orders'!C9*(1+'02_Orders'!$B$27)/10000000</f>
        <v>23.6</v>
      </c>
      <c r="D5" s="17">
        <f>'02_Orders'!$B$32*'02_Orders'!$B$33/10000000</f>
        <v>7.08</v>
      </c>
      <c r="E5" s="17">
        <f t="shared" ref="E5:E12" si="0">SUM(B5:D5)</f>
        <v>49.1175</v>
      </c>
    </row>
    <row r="6" spans="1:5" x14ac:dyDescent="0.35">
      <c r="A6" s="5" t="s">
        <v>116</v>
      </c>
      <c r="B6" s="17">
        <f>-'02_Orders'!B5*'02_Orders'!B9*'02_Orders'!$B$27/10000000</f>
        <v>-2.8125</v>
      </c>
      <c r="C6" s="17">
        <f>-'02_Orders'!C5*'02_Orders'!C9*'02_Orders'!$B$27/10000000</f>
        <v>-3.6</v>
      </c>
      <c r="D6" s="17">
        <f>-D5*'02_Orders'!$B$27/(1+'02_Orders'!$B$27)</f>
        <v>-1.08</v>
      </c>
      <c r="E6" s="17">
        <f t="shared" si="0"/>
        <v>-7.4924999999999997</v>
      </c>
    </row>
    <row r="7" spans="1:5" ht="25" x14ac:dyDescent="0.35">
      <c r="A7" s="5" t="s">
        <v>117</v>
      </c>
      <c r="B7" s="17">
        <f>-'02_Orders'!B5*'02_Orders'!B9*'02_Orders'!B10/10000000</f>
        <v>-0.625</v>
      </c>
      <c r="C7" s="17">
        <f>-'02_Orders'!C5*'02_Orders'!C9*'02_Orders'!C10/10000000</f>
        <v>-2</v>
      </c>
      <c r="D7" s="17">
        <f>-(D5+D6)+D10</f>
        <v>-1.4100000000000001</v>
      </c>
      <c r="E7" s="17">
        <f t="shared" si="0"/>
        <v>-4.0350000000000001</v>
      </c>
    </row>
    <row r="8" spans="1:5" x14ac:dyDescent="0.35">
      <c r="A8" s="5" t="s">
        <v>118</v>
      </c>
      <c r="B8" s="17">
        <f>-'02_Orders'!B38*'02_Orders'!B44/10000000</f>
        <v>-0.75</v>
      </c>
      <c r="C8" s="17">
        <f>-'02_Orders'!C38*'02_Orders'!C44/10000000</f>
        <v>-0.9</v>
      </c>
      <c r="D8" s="17">
        <f>-'02_Orders'!D38*'02_Orders'!D44/10000000</f>
        <v>0</v>
      </c>
      <c r="E8" s="17">
        <f t="shared" si="0"/>
        <v>-1.65</v>
      </c>
    </row>
    <row r="9" spans="1:5" x14ac:dyDescent="0.35">
      <c r="A9" s="5" t="s">
        <v>119</v>
      </c>
      <c r="B9" s="17">
        <f>-'02_Orders'!B40*'02_Orders'!B44/10000000</f>
        <v>-1.5</v>
      </c>
      <c r="C9" s="17">
        <f>-'02_Orders'!C40*'02_Orders'!C44/10000000</f>
        <v>-0.9</v>
      </c>
      <c r="D9" s="17">
        <f>-'02_Orders'!D40*'02_Orders'!D44/10000000</f>
        <v>0</v>
      </c>
      <c r="E9" s="17">
        <f t="shared" si="0"/>
        <v>-2.4</v>
      </c>
    </row>
    <row r="10" spans="1:5" x14ac:dyDescent="0.35">
      <c r="A10" s="11" t="s">
        <v>120</v>
      </c>
      <c r="B10" s="18">
        <f>'02_Orders'!B41*'02_Orders'!B44/10000000</f>
        <v>12.75</v>
      </c>
      <c r="C10" s="18">
        <f>'02_Orders'!C41*'02_Orders'!C44/10000000</f>
        <v>16.2</v>
      </c>
      <c r="D10" s="18">
        <f>'02_Orders'!D41*'02_Orders'!D44/10000000</f>
        <v>4.59</v>
      </c>
      <c r="E10" s="18">
        <f t="shared" si="0"/>
        <v>33.54</v>
      </c>
    </row>
    <row r="11" spans="1:5" x14ac:dyDescent="0.35">
      <c r="A11" s="5" t="s">
        <v>108</v>
      </c>
      <c r="B11" s="17">
        <f>-'02_Orders'!B42*'02_Orders'!B44/10000000</f>
        <v>-0.75</v>
      </c>
      <c r="C11" s="17">
        <f>-'02_Orders'!C42*'02_Orders'!C44/10000000</f>
        <v>-2.7</v>
      </c>
      <c r="D11" s="17">
        <f>-'02_Orders'!D42*'02_Orders'!D44/10000000</f>
        <v>-0.09</v>
      </c>
      <c r="E11" s="17">
        <f t="shared" si="0"/>
        <v>-3.54</v>
      </c>
    </row>
    <row r="12" spans="1:5" x14ac:dyDescent="0.35">
      <c r="A12" s="11" t="s">
        <v>121</v>
      </c>
      <c r="B12" s="18">
        <f>B10+B11</f>
        <v>12</v>
      </c>
      <c r="C12" s="18">
        <f>C10+C11</f>
        <v>13.5</v>
      </c>
      <c r="D12" s="18">
        <f>D10+D11</f>
        <v>4.5</v>
      </c>
      <c r="E12" s="18">
        <f t="shared" si="0"/>
        <v>30</v>
      </c>
    </row>
    <row r="13" spans="1:5" x14ac:dyDescent="0.35">
      <c r="A13" s="5" t="s">
        <v>122</v>
      </c>
      <c r="B13" s="17">
        <f>ROUND(B5+B6+B7+B8+B9-B10,6)</f>
        <v>0</v>
      </c>
      <c r="C13" s="17">
        <f>ROUND(C5+C6+C7+C8+C9-C10,6)</f>
        <v>0</v>
      </c>
      <c r="D13" s="17">
        <f>ROUND(D5+D6+D7+D8+D9-D10,6)</f>
        <v>0</v>
      </c>
    </row>
    <row r="15" spans="1:5" x14ac:dyDescent="0.35">
      <c r="A15" s="9" t="s">
        <v>123</v>
      </c>
      <c r="B15" s="10" t="s">
        <v>67</v>
      </c>
      <c r="C15" s="10" t="s">
        <v>68</v>
      </c>
      <c r="D15" s="10" t="s">
        <v>58</v>
      </c>
      <c r="E15" s="10" t="s">
        <v>114</v>
      </c>
    </row>
    <row r="16" spans="1:5" x14ac:dyDescent="0.35">
      <c r="A16" s="5" t="s">
        <v>124</v>
      </c>
      <c r="B16" s="17">
        <f>B12</f>
        <v>12</v>
      </c>
      <c r="C16" s="17">
        <f>C12</f>
        <v>13.5</v>
      </c>
      <c r="D16" s="17">
        <f>D12</f>
        <v>4.5</v>
      </c>
      <c r="E16" s="17">
        <f t="shared" ref="E16:E28" si="1">SUM(B16:D16)</f>
        <v>30</v>
      </c>
    </row>
    <row r="17" spans="1:5" x14ac:dyDescent="0.35">
      <c r="A17" s="5" t="s">
        <v>125</v>
      </c>
      <c r="B17" s="17">
        <f>-('02_Orders'!B43*'02_Orders'!B11+'02_Orders'!B42*'02_Orders'!B12*'02_Orders'!B11)/10000000</f>
        <v>-5.05</v>
      </c>
      <c r="C17" s="17">
        <f>-('02_Orders'!C43*'02_Orders'!C11+'02_Orders'!C42*'02_Orders'!C12*'02_Orders'!C11)/10000000</f>
        <v>-6.24</v>
      </c>
      <c r="D17" s="17">
        <f>-('02_Orders'!D43*'02_Orders'!D11+'02_Orders'!D42*'02_Orders'!D12*'02_Orders'!D11)/10000000</f>
        <v>-2.5099999999999998</v>
      </c>
      <c r="E17" s="17">
        <f t="shared" si="1"/>
        <v>-13.799999999999999</v>
      </c>
    </row>
    <row r="18" spans="1:5" x14ac:dyDescent="0.35">
      <c r="A18" s="11" t="s">
        <v>126</v>
      </c>
      <c r="B18" s="18">
        <f>B16+B17</f>
        <v>6.95</v>
      </c>
      <c r="C18" s="18">
        <f>C16+C17</f>
        <v>7.26</v>
      </c>
      <c r="D18" s="18">
        <f>D16+D17</f>
        <v>1.9900000000000002</v>
      </c>
      <c r="E18" s="18">
        <f t="shared" si="1"/>
        <v>16.200000000000003</v>
      </c>
    </row>
    <row r="19" spans="1:5" x14ac:dyDescent="0.35">
      <c r="A19" s="5" t="s">
        <v>127</v>
      </c>
      <c r="B19" s="17">
        <f>-'02_Orders'!B39*'02_Orders'!B13/10000000</f>
        <v>-0.23749999999999999</v>
      </c>
      <c r="C19" s="17">
        <f>-'02_Orders'!C39*'02_Orders'!C13/10000000</f>
        <v>-0.30399999999999999</v>
      </c>
      <c r="D19" s="17">
        <f>-'02_Orders'!D39*'02_Orders'!D13/10000000</f>
        <v>-0.10199999999999999</v>
      </c>
      <c r="E19" s="17">
        <f t="shared" si="1"/>
        <v>-0.64349999999999996</v>
      </c>
    </row>
    <row r="20" spans="1:5" x14ac:dyDescent="0.35">
      <c r="A20" s="5" t="s">
        <v>128</v>
      </c>
      <c r="B20" s="17">
        <f>-'02_Orders'!B39*'02_Orders'!B14/10000000</f>
        <v>-0.71250000000000002</v>
      </c>
      <c r="C20" s="17">
        <f>-'02_Orders'!C39*'02_Orders'!C14/10000000</f>
        <v>-0.83599999999999997</v>
      </c>
      <c r="D20" s="17">
        <f>-'02_Orders'!D39*'02_Orders'!D14/10000000</f>
        <v>-7.6499999999999999E-2</v>
      </c>
      <c r="E20" s="17">
        <f t="shared" si="1"/>
        <v>-1.625</v>
      </c>
    </row>
    <row r="21" spans="1:5" x14ac:dyDescent="0.35">
      <c r="A21" s="5" t="s">
        <v>129</v>
      </c>
      <c r="B21" s="17">
        <f>-('02_Orders'!B40*'02_Orders'!B15+'02_Orders'!B42*'02_Orders'!B16)/10000000</f>
        <v>-0.1</v>
      </c>
      <c r="C21" s="17">
        <f>-('02_Orders'!C40*'02_Orders'!C15+'02_Orders'!C42*'02_Orders'!C16)/10000000</f>
        <v>-0.152</v>
      </c>
      <c r="D21" s="17">
        <f>-('02_Orders'!D40*'02_Orders'!D15+'02_Orders'!D42*'02_Orders'!D16)/10000000</f>
        <v>0</v>
      </c>
      <c r="E21" s="17">
        <f t="shared" si="1"/>
        <v>-0.252</v>
      </c>
    </row>
    <row r="22" spans="1:5" x14ac:dyDescent="0.35">
      <c r="A22" s="5" t="s">
        <v>130</v>
      </c>
      <c r="B22" s="17">
        <f>-'02_Orders'!B39*'02_Orders'!B17/10000000</f>
        <v>-0.17812500000000001</v>
      </c>
      <c r="C22" s="17">
        <f>-'02_Orders'!C39*'02_Orders'!C17/10000000</f>
        <v>-0.22800000000000001</v>
      </c>
      <c r="D22" s="17">
        <f>-'02_Orders'!D39*'02_Orders'!D17/10000000</f>
        <v>-2.5499999999999998E-2</v>
      </c>
      <c r="E22" s="17">
        <f t="shared" si="1"/>
        <v>-0.43162500000000004</v>
      </c>
    </row>
    <row r="23" spans="1:5" x14ac:dyDescent="0.35">
      <c r="A23" s="5" t="s">
        <v>131</v>
      </c>
      <c r="B23" s="17">
        <f>-('02_Orders'!B41*'02_Orders'!B18*'02_Orders'!B44*(1+'02_Orders'!$B$27)*'02_Orders'!B19+'02_Orders'!B41*(1-'02_Orders'!B18)*'02_Orders'!B20)/10000000</f>
        <v>-0.26554</v>
      </c>
      <c r="C23" s="17">
        <f>-('02_Orders'!C41*'02_Orders'!C18*'02_Orders'!C44*(1+'02_Orders'!$B$27)*'02_Orders'!C19+'02_Orders'!C41*(1-'02_Orders'!C18)*'02_Orders'!C20)/10000000</f>
        <v>0</v>
      </c>
      <c r="D23" s="17">
        <f>-('02_Orders'!D41*'02_Orders'!D18*'02_Orders'!D44*(1+'02_Orders'!$B$27)*'02_Orders'!D19+'02_Orders'!D41*(1-'02_Orders'!D18)*'02_Orders'!D20)/10000000</f>
        <v>0</v>
      </c>
      <c r="E23" s="17">
        <f t="shared" si="1"/>
        <v>-0.26554</v>
      </c>
    </row>
    <row r="24" spans="1:5" x14ac:dyDescent="0.35">
      <c r="A24" s="5" t="s">
        <v>132</v>
      </c>
      <c r="B24" s="17">
        <f>-('02_Orders'!B43*'02_Orders'!B44*(1+'02_Orders'!$B$27)*'02_Orders'!B21+'02_Orders'!B41*'02_Orders'!B22)/10000000</f>
        <v>0</v>
      </c>
      <c r="C24" s="17">
        <f>-('02_Orders'!C43*'02_Orders'!C44*(1+'02_Orders'!$B$27)*'02_Orders'!C21+'02_Orders'!C41*'02_Orders'!C22)/10000000</f>
        <v>-2.4102000000000006</v>
      </c>
      <c r="D24" s="17">
        <f>-('02_Orders'!D43*'02_Orders'!D44*(1+'02_Orders'!$B$27)*'02_Orders'!D21+'02_Orders'!D41*'02_Orders'!D22)/10000000</f>
        <v>0</v>
      </c>
      <c r="E24" s="17">
        <f t="shared" si="1"/>
        <v>-2.4102000000000006</v>
      </c>
    </row>
    <row r="25" spans="1:5" x14ac:dyDescent="0.35">
      <c r="A25" s="5" t="s">
        <v>133</v>
      </c>
      <c r="B25" s="17">
        <f>-'02_Orders'!B43*'02_Orders'!B23/10000000</f>
        <v>-0.15</v>
      </c>
      <c r="C25" s="17">
        <f>-'02_Orders'!C43*'02_Orders'!C23/10000000</f>
        <v>-0.18</v>
      </c>
      <c r="D25" s="17">
        <f>-'02_Orders'!D43*'02_Orders'!D23/10000000</f>
        <v>-7.4999999999999997E-2</v>
      </c>
      <c r="E25" s="17">
        <f t="shared" si="1"/>
        <v>-0.40499999999999997</v>
      </c>
    </row>
    <row r="26" spans="1:5" x14ac:dyDescent="0.35">
      <c r="A26" s="11" t="s">
        <v>134</v>
      </c>
      <c r="B26" s="18">
        <f>B18+SUM(B19:B25)</f>
        <v>5.3063350000000007</v>
      </c>
      <c r="C26" s="18">
        <f>C18+SUM(C19:C25)</f>
        <v>3.1497999999999999</v>
      </c>
      <c r="D26" s="18">
        <f>D18+SUM(D19:D25)</f>
        <v>1.7110000000000003</v>
      </c>
      <c r="E26" s="18">
        <f t="shared" si="1"/>
        <v>10.167135</v>
      </c>
    </row>
    <row r="27" spans="1:5" x14ac:dyDescent="0.35">
      <c r="A27" s="5" t="s">
        <v>135</v>
      </c>
      <c r="B27" s="17">
        <f>-'02_Orders'!B24</f>
        <v>-4.8</v>
      </c>
      <c r="C27" s="17">
        <f>-'02_Orders'!C24</f>
        <v>-1.62</v>
      </c>
      <c r="D27" s="17">
        <f>-'02_Orders'!D24</f>
        <v>-0.36</v>
      </c>
      <c r="E27" s="17">
        <f t="shared" si="1"/>
        <v>-6.78</v>
      </c>
    </row>
    <row r="28" spans="1:5" x14ac:dyDescent="0.35">
      <c r="A28" s="11" t="s">
        <v>136</v>
      </c>
      <c r="B28" s="18">
        <f>B26+B27</f>
        <v>0.50633500000000087</v>
      </c>
      <c r="C28" s="18">
        <f>C26+C27</f>
        <v>1.5297999999999998</v>
      </c>
      <c r="D28" s="18">
        <f>D26+D27</f>
        <v>1.3510000000000004</v>
      </c>
      <c r="E28" s="18">
        <f t="shared" si="1"/>
        <v>3.3871350000000011</v>
      </c>
    </row>
    <row r="29" spans="1:5" x14ac:dyDescent="0.35">
      <c r="A29" s="5" t="s">
        <v>137</v>
      </c>
      <c r="E29" s="19">
        <f>-'02_Orders'!$B$34</f>
        <v>-7.9200000000000008</v>
      </c>
    </row>
    <row r="30" spans="1:5" x14ac:dyDescent="0.35">
      <c r="A30" s="11" t="s">
        <v>138</v>
      </c>
      <c r="E30" s="18">
        <f>E28+E29</f>
        <v>-4.5328649999999993</v>
      </c>
    </row>
    <row r="32" spans="1:5" x14ac:dyDescent="0.35">
      <c r="A32" s="9" t="s">
        <v>139</v>
      </c>
      <c r="B32" s="10" t="s">
        <v>67</v>
      </c>
      <c r="C32" s="10" t="s">
        <v>68</v>
      </c>
      <c r="D32" s="10" t="s">
        <v>58</v>
      </c>
      <c r="E32" s="10"/>
    </row>
    <row r="33" spans="1:5" x14ac:dyDescent="0.35">
      <c r="A33" s="5" t="s">
        <v>140</v>
      </c>
      <c r="B33" s="20">
        <f>'02_Orders'!B43</f>
        <v>50000</v>
      </c>
      <c r="C33" s="20">
        <f>'02_Orders'!C43</f>
        <v>60000</v>
      </c>
      <c r="D33" s="20">
        <f>'02_Orders'!D43</f>
        <v>25000</v>
      </c>
      <c r="E33" s="16">
        <f>SUM(B33:D33)</f>
        <v>135000</v>
      </c>
    </row>
    <row r="34" spans="1:5" x14ac:dyDescent="0.35">
      <c r="A34" s="5" t="s">
        <v>141</v>
      </c>
      <c r="B34" s="16">
        <f>B16*10000000/B33</f>
        <v>2400</v>
      </c>
      <c r="C34" s="16">
        <f>C16*10000000/C33</f>
        <v>2250</v>
      </c>
      <c r="D34" s="16">
        <f>D16*10000000/D33</f>
        <v>1800</v>
      </c>
    </row>
    <row r="35" spans="1:5" x14ac:dyDescent="0.35">
      <c r="A35" s="5" t="s">
        <v>142</v>
      </c>
      <c r="B35" s="16">
        <f>B18*10000000/B33</f>
        <v>1390</v>
      </c>
      <c r="C35" s="16">
        <f>C18*10000000/C33</f>
        <v>1210</v>
      </c>
      <c r="D35" s="16">
        <f>D18*10000000/D33</f>
        <v>796.00000000000011</v>
      </c>
    </row>
    <row r="36" spans="1:5" x14ac:dyDescent="0.35">
      <c r="A36" s="5" t="s">
        <v>143</v>
      </c>
      <c r="B36" s="16">
        <f>-SUM(B19:B25)*10000000/B33</f>
        <v>328.733</v>
      </c>
      <c r="C36" s="16">
        <f>-SUM(C19:C25)*10000000/C33</f>
        <v>685.0333333333333</v>
      </c>
      <c r="D36" s="16">
        <f>-SUM(D19:D25)*10000000/D33</f>
        <v>111.59999999999998</v>
      </c>
    </row>
    <row r="37" spans="1:5" x14ac:dyDescent="0.35">
      <c r="A37" s="11" t="s">
        <v>144</v>
      </c>
      <c r="B37" s="21">
        <f>B26*10000000/B33</f>
        <v>1061.2670000000001</v>
      </c>
      <c r="C37" s="21">
        <f>C26*10000000/C33</f>
        <v>524.9666666666667</v>
      </c>
      <c r="D37" s="21">
        <f>D26*10000000/D33</f>
        <v>684.4000000000002</v>
      </c>
    </row>
    <row r="38" spans="1:5" x14ac:dyDescent="0.35">
      <c r="A38" s="5" t="s">
        <v>145</v>
      </c>
      <c r="B38" s="16">
        <f>-B27*10000000/B33</f>
        <v>960</v>
      </c>
      <c r="C38" s="16">
        <f>-C27*10000000/C33</f>
        <v>270.00000000000006</v>
      </c>
      <c r="D38" s="16">
        <f>-D27*10000000/D33</f>
        <v>144</v>
      </c>
    </row>
    <row r="39" spans="1:5" x14ac:dyDescent="0.35">
      <c r="A39" s="11" t="s">
        <v>146</v>
      </c>
      <c r="B39" s="21">
        <f>B28*10000000/B33</f>
        <v>101.26700000000017</v>
      </c>
      <c r="C39" s="21">
        <f>C28*10000000/C33</f>
        <v>254.96666666666664</v>
      </c>
      <c r="D39" s="21">
        <f>D28*10000000/D33</f>
        <v>540.4000000000002</v>
      </c>
    </row>
    <row r="41" spans="1:5" x14ac:dyDescent="0.35">
      <c r="A41" s="9" t="s">
        <v>147</v>
      </c>
      <c r="B41" s="10" t="s">
        <v>67</v>
      </c>
      <c r="C41" s="10" t="s">
        <v>68</v>
      </c>
      <c r="D41" s="10" t="s">
        <v>58</v>
      </c>
      <c r="E41" s="10"/>
    </row>
    <row r="42" spans="1:5" x14ac:dyDescent="0.35">
      <c r="A42" s="5" t="s">
        <v>148</v>
      </c>
      <c r="B42" s="17">
        <f>B12*(1+'02_Orders'!$B$27)</f>
        <v>14.16</v>
      </c>
      <c r="C42" s="17">
        <f>C12*(1+'02_Orders'!$B$27)</f>
        <v>15.93</v>
      </c>
      <c r="D42" s="17">
        <f>D12*(1+'02_Orders'!$B$27)</f>
        <v>5.31</v>
      </c>
    </row>
    <row r="43" spans="1:5" x14ac:dyDescent="0.35">
      <c r="A43" s="5" t="s">
        <v>149</v>
      </c>
      <c r="C43" s="17">
        <f>C24+C20+C21</f>
        <v>-3.3982000000000006</v>
      </c>
    </row>
    <row r="44" spans="1:5" x14ac:dyDescent="0.35">
      <c r="A44" s="5" t="s">
        <v>150</v>
      </c>
      <c r="C44" s="17">
        <f>C43*'02_Orders'!$B$27</f>
        <v>-0.61167600000000011</v>
      </c>
    </row>
    <row r="45" spans="1:5" x14ac:dyDescent="0.35">
      <c r="A45" s="5" t="s">
        <v>151</v>
      </c>
      <c r="B45" s="17">
        <f>B23</f>
        <v>-0.26554</v>
      </c>
    </row>
    <row r="46" spans="1:5" x14ac:dyDescent="0.35">
      <c r="A46" s="5" t="s">
        <v>152</v>
      </c>
      <c r="C46" s="17">
        <f>-C12*'02_Orders'!$B$28</f>
        <v>-6.7500000000000004E-2</v>
      </c>
    </row>
    <row r="47" spans="1:5" x14ac:dyDescent="0.35">
      <c r="A47" s="5" t="s">
        <v>153</v>
      </c>
      <c r="C47" s="17">
        <f>-C12*'02_Orders'!$B$29</f>
        <v>-1.35E-2</v>
      </c>
      <c r="D47" s="17">
        <f>-MAX(0,D12-'02_Orders'!$B$31)*'02_Orders'!$B$30</f>
        <v>-4.0000000000000001E-3</v>
      </c>
    </row>
    <row r="48" spans="1:5" x14ac:dyDescent="0.35">
      <c r="A48" s="11" t="s">
        <v>154</v>
      </c>
      <c r="B48" s="18">
        <f>SUM(B42:B47)</f>
        <v>13.89446</v>
      </c>
      <c r="C48" s="18">
        <f>SUM(C42:C47)</f>
        <v>11.839123999999996</v>
      </c>
      <c r="D48" s="18">
        <f>SUM(D42:D47)</f>
        <v>5.306</v>
      </c>
    </row>
    <row r="50" spans="1:5" x14ac:dyDescent="0.35">
      <c r="A50" s="4" t="s">
        <v>155</v>
      </c>
    </row>
    <row r="51" spans="1:5" x14ac:dyDescent="0.35">
      <c r="A51" s="5" t="s">
        <v>156</v>
      </c>
      <c r="B51" s="17">
        <f>ROUND(E12-SUM(B12:D12),6)</f>
        <v>0</v>
      </c>
    </row>
    <row r="52" spans="1:5" x14ac:dyDescent="0.35">
      <c r="A52" s="5" t="s">
        <v>157</v>
      </c>
      <c r="B52" s="17">
        <f>ROUND(B37*B33/10000000-B26,6)</f>
        <v>0</v>
      </c>
      <c r="C52" s="17">
        <f>ROUND(C37*C33/10000000-C26,6)</f>
        <v>0</v>
      </c>
      <c r="D52" s="17">
        <f>ROUND(D37*D33/10000000-D26,6)</f>
        <v>0</v>
      </c>
    </row>
    <row r="53" spans="1:5" x14ac:dyDescent="0.35">
      <c r="A53" s="5" t="s">
        <v>158</v>
      </c>
      <c r="B53" s="17">
        <f>ROUND(B12-'02_Orders'!B43*'02_Orders'!B44/10000000,6)</f>
        <v>0</v>
      </c>
      <c r="C53" s="17">
        <f>ROUND(C12-'02_Orders'!C43*'02_Orders'!C44/10000000,6)</f>
        <v>0</v>
      </c>
      <c r="D53" s="17">
        <f>ROUND(D12-'02_Orders'!D43*'02_Orders'!D44/10000000,6)</f>
        <v>0</v>
      </c>
    </row>
    <row r="55" spans="1:5" x14ac:dyDescent="0.35">
      <c r="A55" s="9" t="s">
        <v>159</v>
      </c>
      <c r="B55" s="10" t="s">
        <v>67</v>
      </c>
      <c r="C55" s="10"/>
      <c r="D55" s="10"/>
      <c r="E55" s="10"/>
    </row>
    <row r="56" spans="1:5" x14ac:dyDescent="0.35">
      <c r="A56" s="5" t="s">
        <v>160</v>
      </c>
      <c r="B56" s="22">
        <v>0</v>
      </c>
    </row>
    <row r="57" spans="1:5" x14ac:dyDescent="0.35">
      <c r="A57" s="5" t="s">
        <v>161</v>
      </c>
      <c r="B57" s="16">
        <f>'02_Orders'!B9*('02_Orders'!B10-B56)</f>
        <v>100</v>
      </c>
    </row>
    <row r="58" spans="1:5" x14ac:dyDescent="0.35">
      <c r="A58" s="5" t="s">
        <v>162</v>
      </c>
      <c r="B58" s="16">
        <f>-'02_Orders'!B41*'02_Orders'!B18*B57*(1+'02_Orders'!$B$27)*'02_Orders'!B19/'02_Orders'!B43</f>
        <v>-1.5044999999999999</v>
      </c>
    </row>
    <row r="59" spans="1:5" x14ac:dyDescent="0.35">
      <c r="A59" s="11" t="s">
        <v>163</v>
      </c>
      <c r="B59" s="21">
        <f>B37+B57+B58</f>
        <v>1159.7625</v>
      </c>
    </row>
    <row r="60" spans="1:5" x14ac:dyDescent="0.35">
      <c r="A60" s="5" t="s">
        <v>164</v>
      </c>
      <c r="B60" s="23">
        <f>-(B59-B37)/B59</f>
        <v>-8.492730192604088E-2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5"/>
  <sheetViews>
    <sheetView workbookViewId="0">
      <pane ySplit="3" topLeftCell="A4" activePane="bottomLeft" state="frozen"/>
      <selection pane="bottomLeft"/>
    </sheetView>
  </sheetViews>
  <sheetFormatPr defaultRowHeight="14.5" x14ac:dyDescent="0.35"/>
  <cols>
    <col min="1" max="1" width="62" customWidth="1"/>
    <col min="2" max="2" width="16" customWidth="1"/>
    <col min="3" max="4" width="18" customWidth="1"/>
    <col min="5" max="5" width="12" customWidth="1"/>
  </cols>
  <sheetData>
    <row r="1" spans="1:5" ht="24" customHeight="1" x14ac:dyDescent="0.4">
      <c r="A1" s="1" t="s">
        <v>165</v>
      </c>
      <c r="B1" s="2"/>
      <c r="C1" s="2"/>
      <c r="D1" s="2"/>
      <c r="E1" s="2"/>
    </row>
    <row r="2" spans="1:5" x14ac:dyDescent="0.35">
      <c r="A2" s="3" t="s">
        <v>166</v>
      </c>
    </row>
    <row r="4" spans="1:5" x14ac:dyDescent="0.35">
      <c r="A4" s="5" t="s">
        <v>167</v>
      </c>
      <c r="B4" s="15">
        <v>4.2</v>
      </c>
    </row>
    <row r="5" spans="1:5" x14ac:dyDescent="0.35">
      <c r="A5" s="5" t="s">
        <v>168</v>
      </c>
      <c r="B5" s="15">
        <v>0.6</v>
      </c>
    </row>
    <row r="6" spans="1:5" x14ac:dyDescent="0.35">
      <c r="A6" s="5" t="s">
        <v>169</v>
      </c>
      <c r="B6" s="12">
        <v>24000</v>
      </c>
    </row>
    <row r="7" spans="1:5" x14ac:dyDescent="0.35">
      <c r="A7" s="5" t="s">
        <v>170</v>
      </c>
      <c r="B7" s="12">
        <v>30000</v>
      </c>
    </row>
    <row r="8" spans="1:5" x14ac:dyDescent="0.35">
      <c r="A8" s="5" t="s">
        <v>171</v>
      </c>
      <c r="B8" s="12">
        <v>34000</v>
      </c>
    </row>
    <row r="9" spans="1:5" x14ac:dyDescent="0.35">
      <c r="A9" s="5" t="s">
        <v>172</v>
      </c>
      <c r="B9" s="12">
        <v>10000</v>
      </c>
    </row>
    <row r="10" spans="1:5" x14ac:dyDescent="0.35">
      <c r="A10" s="5" t="s">
        <v>173</v>
      </c>
      <c r="B10" s="13">
        <v>0.3</v>
      </c>
    </row>
    <row r="11" spans="1:5" x14ac:dyDescent="0.35">
      <c r="A11" s="5" t="s">
        <v>174</v>
      </c>
      <c r="B11" s="20">
        <f>'03_Channel_PnL'!B37</f>
        <v>1061.2670000000001</v>
      </c>
    </row>
    <row r="12" spans="1:5" x14ac:dyDescent="0.35">
      <c r="A12" s="5" t="s">
        <v>175</v>
      </c>
      <c r="B12" s="20">
        <f>'03_Channel_PnL'!B34</f>
        <v>2400</v>
      </c>
    </row>
    <row r="13" spans="1:5" x14ac:dyDescent="0.35">
      <c r="A13" s="5" t="s">
        <v>176</v>
      </c>
      <c r="B13" s="24">
        <f>'05_Cohorts'!B4</f>
        <v>0.06</v>
      </c>
    </row>
    <row r="14" spans="1:5" x14ac:dyDescent="0.35">
      <c r="A14" s="5" t="s">
        <v>177</v>
      </c>
      <c r="B14" s="24">
        <f>'05_Cohorts'!B5</f>
        <v>0.85</v>
      </c>
    </row>
    <row r="16" spans="1:5" x14ac:dyDescent="0.35">
      <c r="A16" s="5" t="s">
        <v>178</v>
      </c>
      <c r="B16" s="16">
        <f>B4*10000000/B6</f>
        <v>1750</v>
      </c>
    </row>
    <row r="17" spans="1:5" x14ac:dyDescent="0.35">
      <c r="A17" s="11" t="s">
        <v>179</v>
      </c>
      <c r="B17" s="21">
        <f>B4*10000000/B7</f>
        <v>1400</v>
      </c>
    </row>
    <row r="18" spans="1:5" x14ac:dyDescent="0.35">
      <c r="A18" s="5" t="s">
        <v>180</v>
      </c>
      <c r="B18" s="16">
        <f>B4*10000000/B8</f>
        <v>1235.2941176470588</v>
      </c>
    </row>
    <row r="19" spans="1:5" x14ac:dyDescent="0.35">
      <c r="A19" s="5" t="s">
        <v>181</v>
      </c>
      <c r="B19" s="16">
        <f>B4*10000000/(B7+B9)</f>
        <v>1050</v>
      </c>
    </row>
    <row r="20" spans="1:5" x14ac:dyDescent="0.35">
      <c r="A20" s="5" t="s">
        <v>182</v>
      </c>
      <c r="B20" s="16">
        <f>B4*10000000/(B7+B10*B9)</f>
        <v>1272.7272727272727</v>
      </c>
    </row>
    <row r="21" spans="1:5" x14ac:dyDescent="0.35">
      <c r="A21" s="5" t="s">
        <v>183</v>
      </c>
      <c r="B21" s="16">
        <f>B13/(1-B14)*B11</f>
        <v>424.50679999999994</v>
      </c>
    </row>
    <row r="22" spans="1:5" ht="26" x14ac:dyDescent="0.35">
      <c r="A22" s="11" t="s">
        <v>184</v>
      </c>
      <c r="B22" s="21">
        <f>IF(COUNT(E26:E85)=0,"Never",MIN(E26:E85))</f>
        <v>11</v>
      </c>
    </row>
    <row r="25" spans="1:5" ht="26" x14ac:dyDescent="0.35">
      <c r="A25" s="9" t="s">
        <v>185</v>
      </c>
      <c r="B25" s="10" t="s">
        <v>186</v>
      </c>
      <c r="C25" s="10" t="s">
        <v>187</v>
      </c>
      <c r="D25" s="10" t="s">
        <v>188</v>
      </c>
      <c r="E25" s="10" t="s">
        <v>189</v>
      </c>
    </row>
    <row r="26" spans="1:5" x14ac:dyDescent="0.35">
      <c r="A26" s="12">
        <v>1</v>
      </c>
      <c r="B26" s="25">
        <v>1</v>
      </c>
      <c r="C26" s="16">
        <f t="shared" ref="C26:C57" si="0">B26*$B$11</f>
        <v>1061.2670000000001</v>
      </c>
      <c r="D26" s="16">
        <f>C26</f>
        <v>1061.2670000000001</v>
      </c>
      <c r="E26" s="16" t="str">
        <f t="shared" ref="E26:E57" si="1">IF(D26&gt;=$B$17,A26,"")</f>
        <v/>
      </c>
    </row>
    <row r="27" spans="1:5" x14ac:dyDescent="0.35">
      <c r="A27" s="12">
        <v>2</v>
      </c>
      <c r="B27" s="26">
        <f t="shared" ref="B27:B58" si="2">$B$13*$B$14^(A27-2)</f>
        <v>0.06</v>
      </c>
      <c r="C27" s="16">
        <f t="shared" si="0"/>
        <v>63.676020000000001</v>
      </c>
      <c r="D27" s="16">
        <f t="shared" ref="D27:D58" si="3">D26+C27</f>
        <v>1124.9430200000002</v>
      </c>
      <c r="E27" s="16" t="str">
        <f t="shared" si="1"/>
        <v/>
      </c>
    </row>
    <row r="28" spans="1:5" x14ac:dyDescent="0.35">
      <c r="A28" s="12">
        <v>3</v>
      </c>
      <c r="B28" s="26">
        <f t="shared" si="2"/>
        <v>5.0999999999999997E-2</v>
      </c>
      <c r="C28" s="16">
        <f t="shared" si="0"/>
        <v>54.124617000000001</v>
      </c>
      <c r="D28" s="16">
        <f t="shared" si="3"/>
        <v>1179.0676370000001</v>
      </c>
      <c r="E28" s="16" t="str">
        <f t="shared" si="1"/>
        <v/>
      </c>
    </row>
    <row r="29" spans="1:5" x14ac:dyDescent="0.35">
      <c r="A29" s="12">
        <v>4</v>
      </c>
      <c r="B29" s="26">
        <f t="shared" si="2"/>
        <v>4.3349999999999993E-2</v>
      </c>
      <c r="C29" s="16">
        <f t="shared" si="0"/>
        <v>46.005924449999995</v>
      </c>
      <c r="D29" s="16">
        <f t="shared" si="3"/>
        <v>1225.0735614500002</v>
      </c>
      <c r="E29" s="16" t="str">
        <f t="shared" si="1"/>
        <v/>
      </c>
    </row>
    <row r="30" spans="1:5" x14ac:dyDescent="0.35">
      <c r="A30" s="12">
        <v>5</v>
      </c>
      <c r="B30" s="26">
        <f t="shared" si="2"/>
        <v>3.6847499999999991E-2</v>
      </c>
      <c r="C30" s="16">
        <f t="shared" si="0"/>
        <v>39.105035782499989</v>
      </c>
      <c r="D30" s="16">
        <f t="shared" si="3"/>
        <v>1264.1785972325001</v>
      </c>
      <c r="E30" s="16" t="str">
        <f t="shared" si="1"/>
        <v/>
      </c>
    </row>
    <row r="31" spans="1:5" x14ac:dyDescent="0.35">
      <c r="A31" s="12">
        <v>6</v>
      </c>
      <c r="B31" s="26">
        <f t="shared" si="2"/>
        <v>3.1320374999999991E-2</v>
      </c>
      <c r="C31" s="16">
        <f t="shared" si="0"/>
        <v>33.239280415124995</v>
      </c>
      <c r="D31" s="16">
        <f t="shared" si="3"/>
        <v>1297.4178776476251</v>
      </c>
      <c r="E31" s="16" t="str">
        <f t="shared" si="1"/>
        <v/>
      </c>
    </row>
    <row r="32" spans="1:5" x14ac:dyDescent="0.35">
      <c r="A32" s="12">
        <v>7</v>
      </c>
      <c r="B32" s="26">
        <f t="shared" si="2"/>
        <v>2.6622318749999992E-2</v>
      </c>
      <c r="C32" s="16">
        <f t="shared" si="0"/>
        <v>28.253388352856241</v>
      </c>
      <c r="D32" s="16">
        <f t="shared" si="3"/>
        <v>1325.6712660004814</v>
      </c>
      <c r="E32" s="16" t="str">
        <f t="shared" si="1"/>
        <v/>
      </c>
    </row>
    <row r="33" spans="1:5" x14ac:dyDescent="0.35">
      <c r="A33" s="12">
        <v>8</v>
      </c>
      <c r="B33" s="26">
        <f t="shared" si="2"/>
        <v>2.2628970937499993E-2</v>
      </c>
      <c r="C33" s="16">
        <f t="shared" si="0"/>
        <v>24.015380099927807</v>
      </c>
      <c r="D33" s="16">
        <f t="shared" si="3"/>
        <v>1349.6866461004092</v>
      </c>
      <c r="E33" s="16" t="str">
        <f t="shared" si="1"/>
        <v/>
      </c>
    </row>
    <row r="34" spans="1:5" x14ac:dyDescent="0.35">
      <c r="A34" s="12">
        <v>9</v>
      </c>
      <c r="B34" s="26">
        <f t="shared" si="2"/>
        <v>1.9234625296874992E-2</v>
      </c>
      <c r="C34" s="16">
        <f t="shared" si="0"/>
        <v>20.413073084938631</v>
      </c>
      <c r="D34" s="16">
        <f t="shared" si="3"/>
        <v>1370.0997191853478</v>
      </c>
      <c r="E34" s="16" t="str">
        <f t="shared" si="1"/>
        <v/>
      </c>
    </row>
    <row r="35" spans="1:5" x14ac:dyDescent="0.35">
      <c r="A35" s="12">
        <v>10</v>
      </c>
      <c r="B35" s="26">
        <f t="shared" si="2"/>
        <v>1.6349431502343744E-2</v>
      </c>
      <c r="C35" s="16">
        <f t="shared" si="0"/>
        <v>17.35111212219784</v>
      </c>
      <c r="D35" s="16">
        <f t="shared" si="3"/>
        <v>1387.4508313075457</v>
      </c>
      <c r="E35" s="16" t="str">
        <f t="shared" si="1"/>
        <v/>
      </c>
    </row>
    <row r="36" spans="1:5" x14ac:dyDescent="0.35">
      <c r="A36" s="12">
        <v>11</v>
      </c>
      <c r="B36" s="26">
        <f t="shared" si="2"/>
        <v>1.3897016776992182E-2</v>
      </c>
      <c r="C36" s="16">
        <f t="shared" si="0"/>
        <v>14.748445303868163</v>
      </c>
      <c r="D36" s="16">
        <f t="shared" si="3"/>
        <v>1402.199276611414</v>
      </c>
      <c r="E36" s="16">
        <f t="shared" si="1"/>
        <v>11</v>
      </c>
    </row>
    <row r="37" spans="1:5" x14ac:dyDescent="0.35">
      <c r="A37" s="12">
        <v>12</v>
      </c>
      <c r="B37" s="26">
        <f t="shared" si="2"/>
        <v>1.1812464260443353E-2</v>
      </c>
      <c r="C37" s="16">
        <f t="shared" si="0"/>
        <v>12.536178508287936</v>
      </c>
      <c r="D37" s="16">
        <f t="shared" si="3"/>
        <v>1414.735455119702</v>
      </c>
      <c r="E37" s="16">
        <f t="shared" si="1"/>
        <v>12</v>
      </c>
    </row>
    <row r="38" spans="1:5" x14ac:dyDescent="0.35">
      <c r="A38" s="12">
        <v>13</v>
      </c>
      <c r="B38" s="26">
        <f t="shared" si="2"/>
        <v>1.0040594621376851E-2</v>
      </c>
      <c r="C38" s="16">
        <f t="shared" si="0"/>
        <v>10.655751732044747</v>
      </c>
      <c r="D38" s="16">
        <f t="shared" si="3"/>
        <v>1425.3912068517468</v>
      </c>
      <c r="E38" s="16">
        <f t="shared" si="1"/>
        <v>13</v>
      </c>
    </row>
    <row r="39" spans="1:5" x14ac:dyDescent="0.35">
      <c r="A39" s="12">
        <v>14</v>
      </c>
      <c r="B39" s="26">
        <f t="shared" si="2"/>
        <v>8.5345054281703216E-3</v>
      </c>
      <c r="C39" s="16">
        <f t="shared" si="0"/>
        <v>9.0573889722380336</v>
      </c>
      <c r="D39" s="16">
        <f t="shared" si="3"/>
        <v>1434.4485958239848</v>
      </c>
      <c r="E39" s="16">
        <f t="shared" si="1"/>
        <v>14</v>
      </c>
    </row>
    <row r="40" spans="1:5" x14ac:dyDescent="0.35">
      <c r="A40" s="12">
        <v>15</v>
      </c>
      <c r="B40" s="26">
        <f t="shared" si="2"/>
        <v>7.2543296139447738E-3</v>
      </c>
      <c r="C40" s="16">
        <f t="shared" si="0"/>
        <v>7.6987806264023284</v>
      </c>
      <c r="D40" s="16">
        <f t="shared" si="3"/>
        <v>1442.1473764503871</v>
      </c>
      <c r="E40" s="16">
        <f t="shared" si="1"/>
        <v>15</v>
      </c>
    </row>
    <row r="41" spans="1:5" x14ac:dyDescent="0.35">
      <c r="A41" s="12">
        <v>16</v>
      </c>
      <c r="B41" s="26">
        <f t="shared" si="2"/>
        <v>6.1661801718530572E-3</v>
      </c>
      <c r="C41" s="16">
        <f t="shared" si="0"/>
        <v>6.5439635324419791</v>
      </c>
      <c r="D41" s="16">
        <f t="shared" si="3"/>
        <v>1448.691339982829</v>
      </c>
      <c r="E41" s="16">
        <f t="shared" si="1"/>
        <v>16</v>
      </c>
    </row>
    <row r="42" spans="1:5" x14ac:dyDescent="0.35">
      <c r="A42" s="12">
        <v>17</v>
      </c>
      <c r="B42" s="26">
        <f t="shared" si="2"/>
        <v>5.2412531460750977E-3</v>
      </c>
      <c r="C42" s="16">
        <f t="shared" si="0"/>
        <v>5.5623690025756813</v>
      </c>
      <c r="D42" s="16">
        <f t="shared" si="3"/>
        <v>1454.2537089854047</v>
      </c>
      <c r="E42" s="16">
        <f t="shared" si="1"/>
        <v>17</v>
      </c>
    </row>
    <row r="43" spans="1:5" x14ac:dyDescent="0.35">
      <c r="A43" s="12">
        <v>18</v>
      </c>
      <c r="B43" s="26">
        <f t="shared" si="2"/>
        <v>4.4550651741638338E-3</v>
      </c>
      <c r="C43" s="16">
        <f t="shared" si="0"/>
        <v>4.7280136521893299</v>
      </c>
      <c r="D43" s="16">
        <f t="shared" si="3"/>
        <v>1458.981722637594</v>
      </c>
      <c r="E43" s="16">
        <f t="shared" si="1"/>
        <v>18</v>
      </c>
    </row>
    <row r="44" spans="1:5" x14ac:dyDescent="0.35">
      <c r="A44" s="12">
        <v>19</v>
      </c>
      <c r="B44" s="26">
        <f t="shared" si="2"/>
        <v>3.7868053980392585E-3</v>
      </c>
      <c r="C44" s="16">
        <f t="shared" si="0"/>
        <v>4.0188116043609297</v>
      </c>
      <c r="D44" s="16">
        <f t="shared" si="3"/>
        <v>1463.0005342419549</v>
      </c>
      <c r="E44" s="16">
        <f t="shared" si="1"/>
        <v>19</v>
      </c>
    </row>
    <row r="45" spans="1:5" x14ac:dyDescent="0.35">
      <c r="A45" s="12">
        <v>20</v>
      </c>
      <c r="B45" s="26">
        <f t="shared" si="2"/>
        <v>3.2187845883333696E-3</v>
      </c>
      <c r="C45" s="16">
        <f t="shared" si="0"/>
        <v>3.4159898637067903</v>
      </c>
      <c r="D45" s="16">
        <f t="shared" si="3"/>
        <v>1466.4165241056617</v>
      </c>
      <c r="E45" s="16">
        <f t="shared" si="1"/>
        <v>20</v>
      </c>
    </row>
    <row r="46" spans="1:5" x14ac:dyDescent="0.35">
      <c r="A46" s="12">
        <v>21</v>
      </c>
      <c r="B46" s="26">
        <f t="shared" si="2"/>
        <v>2.735966900083364E-3</v>
      </c>
      <c r="C46" s="16">
        <f t="shared" si="0"/>
        <v>2.9035913841507717</v>
      </c>
      <c r="D46" s="16">
        <f t="shared" si="3"/>
        <v>1469.3201154898125</v>
      </c>
      <c r="E46" s="16">
        <f t="shared" si="1"/>
        <v>21</v>
      </c>
    </row>
    <row r="47" spans="1:5" x14ac:dyDescent="0.35">
      <c r="A47" s="12">
        <v>22</v>
      </c>
      <c r="B47" s="26">
        <f t="shared" si="2"/>
        <v>2.3255718650708594E-3</v>
      </c>
      <c r="C47" s="16">
        <f t="shared" si="0"/>
        <v>2.4680526765281559</v>
      </c>
      <c r="D47" s="16">
        <f t="shared" si="3"/>
        <v>1471.7881681663407</v>
      </c>
      <c r="E47" s="16">
        <f t="shared" si="1"/>
        <v>22</v>
      </c>
    </row>
    <row r="48" spans="1:5" x14ac:dyDescent="0.35">
      <c r="A48" s="12">
        <v>23</v>
      </c>
      <c r="B48" s="26">
        <f t="shared" si="2"/>
        <v>1.9767360853102304E-3</v>
      </c>
      <c r="C48" s="16">
        <f t="shared" si="0"/>
        <v>2.0978447750489324</v>
      </c>
      <c r="D48" s="16">
        <f t="shared" si="3"/>
        <v>1473.8860129413897</v>
      </c>
      <c r="E48" s="16">
        <f t="shared" si="1"/>
        <v>23</v>
      </c>
    </row>
    <row r="49" spans="1:5" x14ac:dyDescent="0.35">
      <c r="A49" s="12">
        <v>24</v>
      </c>
      <c r="B49" s="26">
        <f t="shared" si="2"/>
        <v>1.6802256725136956E-3</v>
      </c>
      <c r="C49" s="16">
        <f t="shared" si="0"/>
        <v>1.7831680587915923</v>
      </c>
      <c r="D49" s="16">
        <f t="shared" si="3"/>
        <v>1475.6691810001812</v>
      </c>
      <c r="E49" s="16">
        <f t="shared" si="1"/>
        <v>24</v>
      </c>
    </row>
    <row r="50" spans="1:5" x14ac:dyDescent="0.35">
      <c r="A50" s="12">
        <v>25</v>
      </c>
      <c r="B50" s="26">
        <f t="shared" si="2"/>
        <v>1.428191821636641E-3</v>
      </c>
      <c r="C50" s="16">
        <f t="shared" si="0"/>
        <v>1.515692849972853</v>
      </c>
      <c r="D50" s="16">
        <f t="shared" si="3"/>
        <v>1477.184873850154</v>
      </c>
      <c r="E50" s="16">
        <f t="shared" si="1"/>
        <v>25</v>
      </c>
    </row>
    <row r="51" spans="1:5" x14ac:dyDescent="0.35">
      <c r="A51" s="12">
        <v>26</v>
      </c>
      <c r="B51" s="26">
        <f t="shared" si="2"/>
        <v>1.213963048391145E-3</v>
      </c>
      <c r="C51" s="16">
        <f t="shared" si="0"/>
        <v>1.2883389224769253</v>
      </c>
      <c r="D51" s="16">
        <f t="shared" si="3"/>
        <v>1478.4732127726309</v>
      </c>
      <c r="E51" s="16">
        <f t="shared" si="1"/>
        <v>26</v>
      </c>
    </row>
    <row r="52" spans="1:5" x14ac:dyDescent="0.35">
      <c r="A52" s="12">
        <v>27</v>
      </c>
      <c r="B52" s="26">
        <f t="shared" si="2"/>
        <v>1.0318685911324733E-3</v>
      </c>
      <c r="C52" s="16">
        <f t="shared" si="0"/>
        <v>1.0950880841053865</v>
      </c>
      <c r="D52" s="16">
        <f t="shared" si="3"/>
        <v>1479.5683008567362</v>
      </c>
      <c r="E52" s="16">
        <f t="shared" si="1"/>
        <v>27</v>
      </c>
    </row>
    <row r="53" spans="1:5" x14ac:dyDescent="0.35">
      <c r="A53" s="12">
        <v>28</v>
      </c>
      <c r="B53" s="26">
        <f t="shared" si="2"/>
        <v>8.7708830246260221E-4</v>
      </c>
      <c r="C53" s="16">
        <f t="shared" si="0"/>
        <v>0.93082487148957849</v>
      </c>
      <c r="D53" s="16">
        <f t="shared" si="3"/>
        <v>1480.4991257282259</v>
      </c>
      <c r="E53" s="16">
        <f t="shared" si="1"/>
        <v>28</v>
      </c>
    </row>
    <row r="54" spans="1:5" x14ac:dyDescent="0.35">
      <c r="A54" s="12">
        <v>29</v>
      </c>
      <c r="B54" s="26">
        <f t="shared" si="2"/>
        <v>7.4552505709321191E-4</v>
      </c>
      <c r="C54" s="16">
        <f t="shared" si="0"/>
        <v>0.79120114076614179</v>
      </c>
      <c r="D54" s="16">
        <f t="shared" si="3"/>
        <v>1481.290326868992</v>
      </c>
      <c r="E54" s="16">
        <f t="shared" si="1"/>
        <v>29</v>
      </c>
    </row>
    <row r="55" spans="1:5" x14ac:dyDescent="0.35">
      <c r="A55" s="12">
        <v>30</v>
      </c>
      <c r="B55" s="26">
        <f t="shared" si="2"/>
        <v>6.3369629852922998E-4</v>
      </c>
      <c r="C55" s="16">
        <f t="shared" si="0"/>
        <v>0.67252096965122032</v>
      </c>
      <c r="D55" s="16">
        <f t="shared" si="3"/>
        <v>1481.9628478386433</v>
      </c>
      <c r="E55" s="16">
        <f t="shared" si="1"/>
        <v>30</v>
      </c>
    </row>
    <row r="56" spans="1:5" x14ac:dyDescent="0.35">
      <c r="A56" s="12">
        <v>31</v>
      </c>
      <c r="B56" s="26">
        <f t="shared" si="2"/>
        <v>5.3864185374984553E-4</v>
      </c>
      <c r="C56" s="16">
        <f t="shared" si="0"/>
        <v>0.57164282420353729</v>
      </c>
      <c r="D56" s="16">
        <f t="shared" si="3"/>
        <v>1482.5344906628468</v>
      </c>
      <c r="E56" s="16">
        <f t="shared" si="1"/>
        <v>31</v>
      </c>
    </row>
    <row r="57" spans="1:5" x14ac:dyDescent="0.35">
      <c r="A57" s="12">
        <v>32</v>
      </c>
      <c r="B57" s="26">
        <f t="shared" si="2"/>
        <v>4.5784557568736867E-4</v>
      </c>
      <c r="C57" s="16">
        <f t="shared" si="0"/>
        <v>0.4858964005730067</v>
      </c>
      <c r="D57" s="16">
        <f t="shared" si="3"/>
        <v>1483.0203870634198</v>
      </c>
      <c r="E57" s="16">
        <f t="shared" si="1"/>
        <v>32</v>
      </c>
    </row>
    <row r="58" spans="1:5" x14ac:dyDescent="0.35">
      <c r="A58" s="12">
        <v>33</v>
      </c>
      <c r="B58" s="26">
        <f t="shared" si="2"/>
        <v>3.8916873933426326E-4</v>
      </c>
      <c r="C58" s="16">
        <f t="shared" ref="C58:C89" si="4">B58*$B$11</f>
        <v>0.41301194048705558</v>
      </c>
      <c r="D58" s="16">
        <f t="shared" si="3"/>
        <v>1483.4333990039067</v>
      </c>
      <c r="E58" s="16">
        <f t="shared" ref="E58:E89" si="5">IF(D58&gt;=$B$17,A58,"")</f>
        <v>33</v>
      </c>
    </row>
    <row r="59" spans="1:5" x14ac:dyDescent="0.35">
      <c r="A59" s="12">
        <v>34</v>
      </c>
      <c r="B59" s="26">
        <f t="shared" ref="B59:B90" si="6">$B$13*$B$14^(A59-2)</f>
        <v>3.3079342843412386E-4</v>
      </c>
      <c r="C59" s="16">
        <f t="shared" si="4"/>
        <v>0.35106014941399732</v>
      </c>
      <c r="D59" s="16">
        <f t="shared" ref="D59:D90" si="7">D58+C59</f>
        <v>1483.7844591533208</v>
      </c>
      <c r="E59" s="16">
        <f t="shared" si="5"/>
        <v>34</v>
      </c>
    </row>
    <row r="60" spans="1:5" x14ac:dyDescent="0.35">
      <c r="A60" s="12">
        <v>35</v>
      </c>
      <c r="B60" s="26">
        <f t="shared" si="6"/>
        <v>2.8117441416900527E-4</v>
      </c>
      <c r="C60" s="16">
        <f t="shared" si="4"/>
        <v>0.29840112700189775</v>
      </c>
      <c r="D60" s="16">
        <f t="shared" si="7"/>
        <v>1484.0828602803226</v>
      </c>
      <c r="E60" s="16">
        <f t="shared" si="5"/>
        <v>35</v>
      </c>
    </row>
    <row r="61" spans="1:5" x14ac:dyDescent="0.35">
      <c r="A61" s="12">
        <v>36</v>
      </c>
      <c r="B61" s="26">
        <f t="shared" si="6"/>
        <v>2.3899825204365445E-4</v>
      </c>
      <c r="C61" s="16">
        <f t="shared" si="4"/>
        <v>0.25364095795161307</v>
      </c>
      <c r="D61" s="16">
        <f t="shared" si="7"/>
        <v>1484.3365012382742</v>
      </c>
      <c r="E61" s="16">
        <f t="shared" si="5"/>
        <v>36</v>
      </c>
    </row>
    <row r="62" spans="1:5" x14ac:dyDescent="0.35">
      <c r="A62" s="12">
        <v>37</v>
      </c>
      <c r="B62" s="26">
        <f t="shared" si="6"/>
        <v>2.0314851423710627E-4</v>
      </c>
      <c r="C62" s="16">
        <f t="shared" si="4"/>
        <v>0.21559481425887106</v>
      </c>
      <c r="D62" s="16">
        <f t="shared" si="7"/>
        <v>1484.552096052533</v>
      </c>
      <c r="E62" s="16">
        <f t="shared" si="5"/>
        <v>37</v>
      </c>
    </row>
    <row r="63" spans="1:5" x14ac:dyDescent="0.35">
      <c r="A63" s="12">
        <v>38</v>
      </c>
      <c r="B63" s="26">
        <f t="shared" si="6"/>
        <v>1.7267623710154033E-4</v>
      </c>
      <c r="C63" s="16">
        <f t="shared" si="4"/>
        <v>0.18325559212004042</v>
      </c>
      <c r="D63" s="16">
        <f t="shared" si="7"/>
        <v>1484.7353516446531</v>
      </c>
      <c r="E63" s="16">
        <f t="shared" si="5"/>
        <v>38</v>
      </c>
    </row>
    <row r="64" spans="1:5" x14ac:dyDescent="0.35">
      <c r="A64" s="12">
        <v>39</v>
      </c>
      <c r="B64" s="26">
        <f t="shared" si="6"/>
        <v>1.4677480153630929E-4</v>
      </c>
      <c r="C64" s="16">
        <f t="shared" si="4"/>
        <v>0.15576725330203436</v>
      </c>
      <c r="D64" s="16">
        <f t="shared" si="7"/>
        <v>1484.891118897955</v>
      </c>
      <c r="E64" s="16">
        <f t="shared" si="5"/>
        <v>39</v>
      </c>
    </row>
    <row r="65" spans="1:5" x14ac:dyDescent="0.35">
      <c r="A65" s="12">
        <v>40</v>
      </c>
      <c r="B65" s="26">
        <f t="shared" si="6"/>
        <v>1.2475858130586286E-4</v>
      </c>
      <c r="C65" s="16">
        <f t="shared" si="4"/>
        <v>0.13240216530672916</v>
      </c>
      <c r="D65" s="16">
        <f t="shared" si="7"/>
        <v>1485.0235210632618</v>
      </c>
      <c r="E65" s="16">
        <f t="shared" si="5"/>
        <v>40</v>
      </c>
    </row>
    <row r="66" spans="1:5" x14ac:dyDescent="0.35">
      <c r="A66" s="12">
        <v>41</v>
      </c>
      <c r="B66" s="26">
        <f t="shared" si="6"/>
        <v>1.0604479410998342E-4</v>
      </c>
      <c r="C66" s="16">
        <f t="shared" si="4"/>
        <v>0.11254184051071978</v>
      </c>
      <c r="D66" s="16">
        <f t="shared" si="7"/>
        <v>1485.1360629037724</v>
      </c>
      <c r="E66" s="16">
        <f t="shared" si="5"/>
        <v>41</v>
      </c>
    </row>
    <row r="67" spans="1:5" x14ac:dyDescent="0.35">
      <c r="A67" s="12">
        <v>42</v>
      </c>
      <c r="B67" s="26">
        <f t="shared" si="6"/>
        <v>9.0138074993485919E-5</v>
      </c>
      <c r="C67" s="16">
        <f t="shared" si="4"/>
        <v>9.5660564434111819E-2</v>
      </c>
      <c r="D67" s="16">
        <f t="shared" si="7"/>
        <v>1485.2317234682066</v>
      </c>
      <c r="E67" s="16">
        <f t="shared" si="5"/>
        <v>42</v>
      </c>
    </row>
    <row r="68" spans="1:5" x14ac:dyDescent="0.35">
      <c r="A68" s="12">
        <v>43</v>
      </c>
      <c r="B68" s="26">
        <f t="shared" si="6"/>
        <v>7.6617363744463032E-5</v>
      </c>
      <c r="C68" s="16">
        <f t="shared" si="4"/>
        <v>8.1311479768995054E-2</v>
      </c>
      <c r="D68" s="16">
        <f t="shared" si="7"/>
        <v>1485.3130349479757</v>
      </c>
      <c r="E68" s="16">
        <f t="shared" si="5"/>
        <v>43</v>
      </c>
    </row>
    <row r="69" spans="1:5" x14ac:dyDescent="0.35">
      <c r="A69" s="12">
        <v>44</v>
      </c>
      <c r="B69" s="26">
        <f t="shared" si="6"/>
        <v>6.5124759182793571E-5</v>
      </c>
      <c r="C69" s="16">
        <f t="shared" si="4"/>
        <v>6.9114757803645788E-2</v>
      </c>
      <c r="D69" s="16">
        <f t="shared" si="7"/>
        <v>1485.3821497057793</v>
      </c>
      <c r="E69" s="16">
        <f t="shared" si="5"/>
        <v>44</v>
      </c>
    </row>
    <row r="70" spans="1:5" x14ac:dyDescent="0.35">
      <c r="A70" s="12">
        <v>45</v>
      </c>
      <c r="B70" s="26">
        <f t="shared" si="6"/>
        <v>5.5356045305374534E-5</v>
      </c>
      <c r="C70" s="16">
        <f t="shared" si="4"/>
        <v>5.874754413309892E-2</v>
      </c>
      <c r="D70" s="16">
        <f t="shared" si="7"/>
        <v>1485.4408972499125</v>
      </c>
      <c r="E70" s="16">
        <f t="shared" si="5"/>
        <v>45</v>
      </c>
    </row>
    <row r="71" spans="1:5" x14ac:dyDescent="0.35">
      <c r="A71" s="12">
        <v>46</v>
      </c>
      <c r="B71" s="26">
        <f t="shared" si="6"/>
        <v>4.7052638509568355E-5</v>
      </c>
      <c r="C71" s="16">
        <f t="shared" si="4"/>
        <v>4.9935412513134082E-2</v>
      </c>
      <c r="D71" s="16">
        <f t="shared" si="7"/>
        <v>1485.4908326624256</v>
      </c>
      <c r="E71" s="16">
        <f t="shared" si="5"/>
        <v>46</v>
      </c>
    </row>
    <row r="72" spans="1:5" x14ac:dyDescent="0.35">
      <c r="A72" s="12">
        <v>47</v>
      </c>
      <c r="B72" s="26">
        <f t="shared" si="6"/>
        <v>3.9994742733133098E-5</v>
      </c>
      <c r="C72" s="16">
        <f t="shared" si="4"/>
        <v>4.2445100636163968E-2</v>
      </c>
      <c r="D72" s="16">
        <f t="shared" si="7"/>
        <v>1485.5332777630617</v>
      </c>
      <c r="E72" s="16">
        <f t="shared" si="5"/>
        <v>47</v>
      </c>
    </row>
    <row r="73" spans="1:5" x14ac:dyDescent="0.35">
      <c r="A73" s="12">
        <v>48</v>
      </c>
      <c r="B73" s="26">
        <f t="shared" si="6"/>
        <v>3.3995531323163129E-5</v>
      </c>
      <c r="C73" s="16">
        <f t="shared" si="4"/>
        <v>3.6078335540739366E-2</v>
      </c>
      <c r="D73" s="16">
        <f t="shared" si="7"/>
        <v>1485.5693560986024</v>
      </c>
      <c r="E73" s="16">
        <f t="shared" si="5"/>
        <v>48</v>
      </c>
    </row>
    <row r="74" spans="1:5" x14ac:dyDescent="0.35">
      <c r="A74" s="12">
        <v>49</v>
      </c>
      <c r="B74" s="26">
        <f t="shared" si="6"/>
        <v>2.8896201624688654E-5</v>
      </c>
      <c r="C74" s="16">
        <f t="shared" si="4"/>
        <v>3.0666585209628457E-2</v>
      </c>
      <c r="D74" s="16">
        <f t="shared" si="7"/>
        <v>1485.6000226838121</v>
      </c>
      <c r="E74" s="16">
        <f t="shared" si="5"/>
        <v>49</v>
      </c>
    </row>
    <row r="75" spans="1:5" x14ac:dyDescent="0.35">
      <c r="A75" s="12">
        <v>50</v>
      </c>
      <c r="B75" s="26">
        <f t="shared" si="6"/>
        <v>2.4561771380985364E-5</v>
      </c>
      <c r="C75" s="16">
        <f t="shared" si="4"/>
        <v>2.6066597428184197E-2</v>
      </c>
      <c r="D75" s="16">
        <f t="shared" si="7"/>
        <v>1485.6260892812402</v>
      </c>
      <c r="E75" s="16">
        <f t="shared" si="5"/>
        <v>50</v>
      </c>
    </row>
    <row r="76" spans="1:5" x14ac:dyDescent="0.35">
      <c r="A76" s="12">
        <v>51</v>
      </c>
      <c r="B76" s="26">
        <f t="shared" si="6"/>
        <v>2.0877505673837557E-5</v>
      </c>
      <c r="C76" s="16">
        <f t="shared" si="4"/>
        <v>2.2156607813956564E-2</v>
      </c>
      <c r="D76" s="16">
        <f t="shared" si="7"/>
        <v>1485.6482458890541</v>
      </c>
      <c r="E76" s="16">
        <f t="shared" si="5"/>
        <v>51</v>
      </c>
    </row>
    <row r="77" spans="1:5" x14ac:dyDescent="0.35">
      <c r="A77" s="12">
        <v>52</v>
      </c>
      <c r="B77" s="26">
        <f t="shared" si="6"/>
        <v>1.7745879822761924E-5</v>
      </c>
      <c r="C77" s="16">
        <f t="shared" si="4"/>
        <v>1.883311664186308E-2</v>
      </c>
      <c r="D77" s="16">
        <f t="shared" si="7"/>
        <v>1485.667079005696</v>
      </c>
      <c r="E77" s="16">
        <f t="shared" si="5"/>
        <v>52</v>
      </c>
    </row>
    <row r="78" spans="1:5" x14ac:dyDescent="0.35">
      <c r="A78" s="12">
        <v>53</v>
      </c>
      <c r="B78" s="26">
        <f t="shared" si="6"/>
        <v>1.5083997849347634E-5</v>
      </c>
      <c r="C78" s="16">
        <f t="shared" si="4"/>
        <v>1.6008149145583617E-2</v>
      </c>
      <c r="D78" s="16">
        <f t="shared" si="7"/>
        <v>1485.6830871548416</v>
      </c>
      <c r="E78" s="16">
        <f t="shared" si="5"/>
        <v>53</v>
      </c>
    </row>
    <row r="79" spans="1:5" x14ac:dyDescent="0.35">
      <c r="A79" s="12">
        <v>54</v>
      </c>
      <c r="B79" s="26">
        <f t="shared" si="6"/>
        <v>1.2821398171945488E-5</v>
      </c>
      <c r="C79" s="16">
        <f t="shared" si="4"/>
        <v>1.3606926773746073E-2</v>
      </c>
      <c r="D79" s="16">
        <f t="shared" si="7"/>
        <v>1485.6966940816153</v>
      </c>
      <c r="E79" s="16">
        <f t="shared" si="5"/>
        <v>54</v>
      </c>
    </row>
    <row r="80" spans="1:5" x14ac:dyDescent="0.35">
      <c r="A80" s="12">
        <v>55</v>
      </c>
      <c r="B80" s="26">
        <f t="shared" si="6"/>
        <v>1.0898188446153664E-5</v>
      </c>
      <c r="C80" s="16">
        <f t="shared" si="4"/>
        <v>1.1565887757684161E-2</v>
      </c>
      <c r="D80" s="16">
        <f t="shared" si="7"/>
        <v>1485.7082599693731</v>
      </c>
      <c r="E80" s="16">
        <f t="shared" si="5"/>
        <v>55</v>
      </c>
    </row>
    <row r="81" spans="1:5" x14ac:dyDescent="0.35">
      <c r="A81" s="12">
        <v>56</v>
      </c>
      <c r="B81" s="26">
        <f t="shared" si="6"/>
        <v>9.2634601792306123E-6</v>
      </c>
      <c r="C81" s="16">
        <f t="shared" si="4"/>
        <v>9.8310045940315349E-3</v>
      </c>
      <c r="D81" s="16">
        <f t="shared" si="7"/>
        <v>1485.718090973967</v>
      </c>
      <c r="E81" s="16">
        <f t="shared" si="5"/>
        <v>56</v>
      </c>
    </row>
    <row r="82" spans="1:5" x14ac:dyDescent="0.35">
      <c r="A82" s="12">
        <v>57</v>
      </c>
      <c r="B82" s="26">
        <f t="shared" si="6"/>
        <v>7.8739411523460209E-6</v>
      </c>
      <c r="C82" s="16">
        <f t="shared" si="4"/>
        <v>8.3563539049268058E-3</v>
      </c>
      <c r="D82" s="16">
        <f t="shared" si="7"/>
        <v>1485.7264473278719</v>
      </c>
      <c r="E82" s="16">
        <f t="shared" si="5"/>
        <v>57</v>
      </c>
    </row>
    <row r="83" spans="1:5" x14ac:dyDescent="0.35">
      <c r="A83" s="12">
        <v>58</v>
      </c>
      <c r="B83" s="26">
        <f t="shared" si="6"/>
        <v>6.6928499794941173E-6</v>
      </c>
      <c r="C83" s="16">
        <f t="shared" si="4"/>
        <v>7.1029008191877841E-3</v>
      </c>
      <c r="D83" s="16">
        <f t="shared" si="7"/>
        <v>1485.7335502286912</v>
      </c>
      <c r="E83" s="16">
        <f t="shared" si="5"/>
        <v>58</v>
      </c>
    </row>
    <row r="84" spans="1:5" x14ac:dyDescent="0.35">
      <c r="A84" s="12">
        <v>59</v>
      </c>
      <c r="B84" s="26">
        <f t="shared" si="6"/>
        <v>5.6889224825700005E-6</v>
      </c>
      <c r="C84" s="16">
        <f t="shared" si="4"/>
        <v>6.0374656963096173E-3</v>
      </c>
      <c r="D84" s="16">
        <f t="shared" si="7"/>
        <v>1485.7395876943876</v>
      </c>
      <c r="E84" s="16">
        <f t="shared" si="5"/>
        <v>59</v>
      </c>
    </row>
    <row r="85" spans="1:5" x14ac:dyDescent="0.35">
      <c r="A85" s="12">
        <v>60</v>
      </c>
      <c r="B85" s="26">
        <f t="shared" si="6"/>
        <v>4.8355841101845E-6</v>
      </c>
      <c r="C85" s="16">
        <f t="shared" si="4"/>
        <v>5.1318458418631741E-3</v>
      </c>
      <c r="D85" s="16">
        <f t="shared" si="7"/>
        <v>1485.7447195402294</v>
      </c>
      <c r="E85" s="16">
        <f t="shared" si="5"/>
        <v>60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9"/>
  <sheetViews>
    <sheetView workbookViewId="0">
      <pane xSplit="1" ySplit="14" topLeftCell="B1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44" customWidth="1"/>
    <col min="2" max="3" width="12" customWidth="1"/>
    <col min="4" max="4" width="10" customWidth="1"/>
    <col min="5" max="5" width="12" customWidth="1"/>
    <col min="6" max="16" width="7" customWidth="1"/>
    <col min="17" max="17" width="14" customWidth="1"/>
  </cols>
  <sheetData>
    <row r="1" spans="1:17" ht="24" customHeight="1" x14ac:dyDescent="0.4">
      <c r="A1" s="1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5">
      <c r="A2" s="3" t="s">
        <v>191</v>
      </c>
    </row>
    <row r="4" spans="1:17" x14ac:dyDescent="0.35">
      <c r="A4" s="5" t="s">
        <v>192</v>
      </c>
      <c r="B4" s="22">
        <v>0.06</v>
      </c>
    </row>
    <row r="5" spans="1:17" x14ac:dyDescent="0.35">
      <c r="A5" s="5" t="s">
        <v>177</v>
      </c>
      <c r="B5" s="22">
        <v>0.85</v>
      </c>
    </row>
    <row r="6" spans="1:17" x14ac:dyDescent="0.35">
      <c r="A6" s="5" t="s">
        <v>193</v>
      </c>
      <c r="B6" s="22">
        <v>3.5000000000000003E-2</v>
      </c>
    </row>
    <row r="7" spans="1:17" x14ac:dyDescent="0.35">
      <c r="A7" s="5" t="s">
        <v>194</v>
      </c>
      <c r="B7" s="27">
        <v>24</v>
      </c>
    </row>
    <row r="8" spans="1:17" x14ac:dyDescent="0.35">
      <c r="A8" s="5" t="s">
        <v>195</v>
      </c>
      <c r="B8" s="22">
        <v>0</v>
      </c>
    </row>
    <row r="9" spans="1:17" x14ac:dyDescent="0.35">
      <c r="A9" s="5" t="s">
        <v>174</v>
      </c>
      <c r="B9" s="20">
        <f>'03_Channel_PnL'!B37</f>
        <v>1061.2670000000001</v>
      </c>
    </row>
    <row r="10" spans="1:17" x14ac:dyDescent="0.35">
      <c r="A10" s="5" t="s">
        <v>175</v>
      </c>
      <c r="B10" s="20">
        <f>'03_Channel_PnL'!B34</f>
        <v>2400</v>
      </c>
    </row>
    <row r="11" spans="1:17" x14ac:dyDescent="0.35">
      <c r="A11" s="5" t="s">
        <v>179</v>
      </c>
      <c r="B11" s="20">
        <f>'04_CAC'!B17</f>
        <v>1400</v>
      </c>
    </row>
    <row r="12" spans="1:17" x14ac:dyDescent="0.35">
      <c r="A12" s="5" t="s">
        <v>181</v>
      </c>
      <c r="B12" s="20">
        <f>'04_CAC'!B19</f>
        <v>1050</v>
      </c>
    </row>
    <row r="14" spans="1:17" ht="26" x14ac:dyDescent="0.35">
      <c r="A14" s="9" t="s">
        <v>196</v>
      </c>
      <c r="B14" s="10" t="s">
        <v>197</v>
      </c>
      <c r="C14" s="10" t="s">
        <v>198</v>
      </c>
      <c r="D14" s="10" t="s">
        <v>199</v>
      </c>
      <c r="E14" s="10" t="s">
        <v>200</v>
      </c>
      <c r="F14" s="28">
        <v>1</v>
      </c>
      <c r="G14" s="28">
        <v>2</v>
      </c>
      <c r="H14" s="28">
        <v>3</v>
      </c>
      <c r="I14" s="28">
        <v>4</v>
      </c>
      <c r="J14" s="28">
        <v>5</v>
      </c>
      <c r="K14" s="28">
        <v>6</v>
      </c>
      <c r="L14" s="28">
        <v>7</v>
      </c>
      <c r="M14" s="28">
        <v>8</v>
      </c>
      <c r="N14" s="28">
        <v>9</v>
      </c>
      <c r="O14" s="28">
        <v>10</v>
      </c>
      <c r="P14" s="28">
        <v>11</v>
      </c>
      <c r="Q14" s="10" t="s">
        <v>201</v>
      </c>
    </row>
    <row r="15" spans="1:17" x14ac:dyDescent="0.35">
      <c r="A15" s="5" t="s">
        <v>202</v>
      </c>
      <c r="B15" s="12">
        <v>2600</v>
      </c>
      <c r="C15" s="12">
        <v>11</v>
      </c>
      <c r="D15" s="29">
        <v>1.04</v>
      </c>
      <c r="E15" s="23">
        <f t="shared" ref="E15:E20" si="0">$B$4*D15</f>
        <v>6.2399999999999997E-2</v>
      </c>
      <c r="F15" s="23">
        <f t="shared" ref="F15:P26" si="1">IF(F$14&gt;$C15,"",$E15*$B$5^(F$14-1))</f>
        <v>6.2399999999999997E-2</v>
      </c>
      <c r="G15" s="23">
        <f t="shared" si="1"/>
        <v>5.3039999999999997E-2</v>
      </c>
      <c r="H15" s="23">
        <f t="shared" si="1"/>
        <v>4.5083999999999992E-2</v>
      </c>
      <c r="I15" s="23">
        <f t="shared" si="1"/>
        <v>3.8321399999999992E-2</v>
      </c>
      <c r="J15" s="23">
        <f t="shared" si="1"/>
        <v>3.2573189999999995E-2</v>
      </c>
      <c r="K15" s="23">
        <f t="shared" si="1"/>
        <v>2.7687211499999993E-2</v>
      </c>
      <c r="L15" s="23">
        <f t="shared" si="1"/>
        <v>2.3534129774999992E-2</v>
      </c>
      <c r="M15" s="23">
        <f t="shared" si="1"/>
        <v>2.000401030874999E-2</v>
      </c>
      <c r="N15" s="23">
        <f t="shared" si="1"/>
        <v>1.7003408762437493E-2</v>
      </c>
      <c r="O15" s="23">
        <f t="shared" si="1"/>
        <v>1.4452897448071869E-2</v>
      </c>
      <c r="P15" s="23">
        <f t="shared" si="1"/>
        <v>1.2284962830861088E-2</v>
      </c>
      <c r="Q15" s="16">
        <f t="shared" ref="Q15:Q26" si="2">B15*SUM(F15:P15)</f>
        <v>900.60154762531306</v>
      </c>
    </row>
    <row r="16" spans="1:17" x14ac:dyDescent="0.35">
      <c r="A16" s="5" t="s">
        <v>203</v>
      </c>
      <c r="B16" s="12">
        <v>2700</v>
      </c>
      <c r="C16" s="12">
        <v>10</v>
      </c>
      <c r="D16" s="29">
        <v>1.02</v>
      </c>
      <c r="E16" s="23">
        <f t="shared" si="0"/>
        <v>6.1199999999999997E-2</v>
      </c>
      <c r="F16" s="23">
        <f t="shared" si="1"/>
        <v>6.1199999999999997E-2</v>
      </c>
      <c r="G16" s="23">
        <f t="shared" si="1"/>
        <v>5.2019999999999997E-2</v>
      </c>
      <c r="H16" s="23">
        <f t="shared" si="1"/>
        <v>4.4216999999999992E-2</v>
      </c>
      <c r="I16" s="23">
        <f t="shared" si="1"/>
        <v>3.7584449999999991E-2</v>
      </c>
      <c r="J16" s="23">
        <f t="shared" si="1"/>
        <v>3.1946782499999993E-2</v>
      </c>
      <c r="K16" s="23">
        <f t="shared" si="1"/>
        <v>2.7154765124999994E-2</v>
      </c>
      <c r="L16" s="23">
        <f t="shared" si="1"/>
        <v>2.3081550356249991E-2</v>
      </c>
      <c r="M16" s="23">
        <f t="shared" si="1"/>
        <v>1.9619317802812491E-2</v>
      </c>
      <c r="N16" s="23">
        <f t="shared" si="1"/>
        <v>1.667642013239062E-2</v>
      </c>
      <c r="O16" s="23">
        <f t="shared" si="1"/>
        <v>1.4174957112532026E-2</v>
      </c>
      <c r="P16" s="23" t="str">
        <f t="shared" si="1"/>
        <v/>
      </c>
      <c r="Q16" s="16">
        <f t="shared" si="2"/>
        <v>884.72315617825973</v>
      </c>
    </row>
    <row r="17" spans="1:17" x14ac:dyDescent="0.35">
      <c r="A17" s="5" t="s">
        <v>204</v>
      </c>
      <c r="B17" s="12">
        <v>2800</v>
      </c>
      <c r="C17" s="12">
        <v>9</v>
      </c>
      <c r="D17" s="29">
        <v>0.98</v>
      </c>
      <c r="E17" s="23">
        <f t="shared" si="0"/>
        <v>5.8799999999999998E-2</v>
      </c>
      <c r="F17" s="23">
        <f t="shared" si="1"/>
        <v>5.8799999999999998E-2</v>
      </c>
      <c r="G17" s="23">
        <f t="shared" si="1"/>
        <v>4.9979999999999997E-2</v>
      </c>
      <c r="H17" s="23">
        <f t="shared" si="1"/>
        <v>4.2482999999999993E-2</v>
      </c>
      <c r="I17" s="23">
        <f t="shared" si="1"/>
        <v>3.6110549999999991E-2</v>
      </c>
      <c r="J17" s="23">
        <f t="shared" si="1"/>
        <v>3.0693967499999992E-2</v>
      </c>
      <c r="K17" s="23">
        <f t="shared" si="1"/>
        <v>2.6089872374999993E-2</v>
      </c>
      <c r="L17" s="23">
        <f t="shared" si="1"/>
        <v>2.2176391518749991E-2</v>
      </c>
      <c r="M17" s="23">
        <f t="shared" si="1"/>
        <v>1.8849932790937492E-2</v>
      </c>
      <c r="N17" s="23">
        <f t="shared" si="1"/>
        <v>1.6022442872296868E-2</v>
      </c>
      <c r="O17" s="23" t="str">
        <f t="shared" si="1"/>
        <v/>
      </c>
      <c r="P17" s="23" t="str">
        <f t="shared" si="1"/>
        <v/>
      </c>
      <c r="Q17" s="16">
        <f t="shared" si="2"/>
        <v>843.37723975955612</v>
      </c>
    </row>
    <row r="18" spans="1:17" x14ac:dyDescent="0.35">
      <c r="A18" s="5" t="s">
        <v>205</v>
      </c>
      <c r="B18" s="12">
        <v>2900</v>
      </c>
      <c r="C18" s="12">
        <v>8</v>
      </c>
      <c r="D18" s="29">
        <v>1</v>
      </c>
      <c r="E18" s="23">
        <f t="shared" si="0"/>
        <v>0.06</v>
      </c>
      <c r="F18" s="23">
        <f t="shared" si="1"/>
        <v>0.06</v>
      </c>
      <c r="G18" s="23">
        <f t="shared" si="1"/>
        <v>5.0999999999999997E-2</v>
      </c>
      <c r="H18" s="23">
        <f t="shared" si="1"/>
        <v>4.3349999999999993E-2</v>
      </c>
      <c r="I18" s="23">
        <f t="shared" si="1"/>
        <v>3.6847499999999991E-2</v>
      </c>
      <c r="J18" s="23">
        <f t="shared" si="1"/>
        <v>3.1320374999999991E-2</v>
      </c>
      <c r="K18" s="23">
        <f t="shared" si="1"/>
        <v>2.6622318749999992E-2</v>
      </c>
      <c r="L18" s="23">
        <f t="shared" si="1"/>
        <v>2.2628970937499993E-2</v>
      </c>
      <c r="M18" s="23">
        <f t="shared" si="1"/>
        <v>1.9234625296874992E-2</v>
      </c>
      <c r="N18" s="23" t="str">
        <f t="shared" si="1"/>
        <v/>
      </c>
      <c r="O18" s="23" t="str">
        <f t="shared" si="1"/>
        <v/>
      </c>
      <c r="P18" s="23" t="str">
        <f t="shared" si="1"/>
        <v/>
      </c>
      <c r="Q18" s="16">
        <f t="shared" si="2"/>
        <v>843.91099095468712</v>
      </c>
    </row>
    <row r="19" spans="1:17" x14ac:dyDescent="0.35">
      <c r="A19" s="5" t="s">
        <v>206</v>
      </c>
      <c r="B19" s="12">
        <v>3000</v>
      </c>
      <c r="C19" s="12">
        <v>7</v>
      </c>
      <c r="D19" s="29">
        <v>0.97</v>
      </c>
      <c r="E19" s="23">
        <f t="shared" si="0"/>
        <v>5.8199999999999995E-2</v>
      </c>
      <c r="F19" s="23">
        <f t="shared" si="1"/>
        <v>5.8199999999999995E-2</v>
      </c>
      <c r="G19" s="23">
        <f t="shared" si="1"/>
        <v>4.9469999999999993E-2</v>
      </c>
      <c r="H19" s="23">
        <f t="shared" si="1"/>
        <v>4.204949999999999E-2</v>
      </c>
      <c r="I19" s="23">
        <f t="shared" si="1"/>
        <v>3.5742074999999991E-2</v>
      </c>
      <c r="J19" s="23">
        <f t="shared" si="1"/>
        <v>3.0380763749999991E-2</v>
      </c>
      <c r="K19" s="23">
        <f t="shared" si="1"/>
        <v>2.5823649187499992E-2</v>
      </c>
      <c r="L19" s="23">
        <f t="shared" si="1"/>
        <v>2.195010180937499E-2</v>
      </c>
      <c r="M19" s="23" t="str">
        <f t="shared" si="1"/>
        <v/>
      </c>
      <c r="N19" s="23" t="str">
        <f t="shared" si="1"/>
        <v/>
      </c>
      <c r="O19" s="23" t="str">
        <f t="shared" si="1"/>
        <v/>
      </c>
      <c r="P19" s="23" t="str">
        <f t="shared" si="1"/>
        <v/>
      </c>
      <c r="Q19" s="16">
        <f t="shared" si="2"/>
        <v>790.84826924062486</v>
      </c>
    </row>
    <row r="20" spans="1:17" x14ac:dyDescent="0.35">
      <c r="A20" s="5" t="s">
        <v>207</v>
      </c>
      <c r="B20" s="12">
        <v>3400</v>
      </c>
      <c r="C20" s="12">
        <v>6</v>
      </c>
      <c r="D20" s="29">
        <v>1.03</v>
      </c>
      <c r="E20" s="23">
        <f t="shared" si="0"/>
        <v>6.1800000000000001E-2</v>
      </c>
      <c r="F20" s="23">
        <f t="shared" si="1"/>
        <v>6.1800000000000001E-2</v>
      </c>
      <c r="G20" s="23">
        <f t="shared" si="1"/>
        <v>5.253E-2</v>
      </c>
      <c r="H20" s="23">
        <f t="shared" si="1"/>
        <v>4.4650499999999996E-2</v>
      </c>
      <c r="I20" s="23">
        <f t="shared" si="1"/>
        <v>3.7952924999999998E-2</v>
      </c>
      <c r="J20" s="23">
        <f t="shared" si="1"/>
        <v>3.2259986249999997E-2</v>
      </c>
      <c r="K20" s="23">
        <f t="shared" si="1"/>
        <v>2.7420988312499995E-2</v>
      </c>
      <c r="L20" s="23" t="str">
        <f t="shared" si="1"/>
        <v/>
      </c>
      <c r="M20" s="23" t="str">
        <f t="shared" si="1"/>
        <v/>
      </c>
      <c r="N20" s="23" t="str">
        <f t="shared" si="1"/>
        <v/>
      </c>
      <c r="O20" s="23" t="str">
        <f t="shared" si="1"/>
        <v/>
      </c>
      <c r="P20" s="23" t="str">
        <f t="shared" si="1"/>
        <v/>
      </c>
      <c r="Q20" s="16">
        <f t="shared" si="2"/>
        <v>872.48895851249995</v>
      </c>
    </row>
    <row r="21" spans="1:17" x14ac:dyDescent="0.35">
      <c r="A21" s="5" t="s">
        <v>208</v>
      </c>
      <c r="B21" s="12">
        <v>6600</v>
      </c>
      <c r="C21" s="12">
        <v>5</v>
      </c>
      <c r="D21" s="29">
        <v>1</v>
      </c>
      <c r="E21" s="23">
        <f>$B$6</f>
        <v>3.5000000000000003E-2</v>
      </c>
      <c r="F21" s="23">
        <f t="shared" si="1"/>
        <v>3.5000000000000003E-2</v>
      </c>
      <c r="G21" s="23">
        <f t="shared" si="1"/>
        <v>2.9750000000000002E-2</v>
      </c>
      <c r="H21" s="23">
        <f t="shared" si="1"/>
        <v>2.5287500000000001E-2</v>
      </c>
      <c r="I21" s="23">
        <f t="shared" si="1"/>
        <v>2.1494375E-2</v>
      </c>
      <c r="J21" s="23">
        <f t="shared" si="1"/>
        <v>1.8270218749999997E-2</v>
      </c>
      <c r="K21" s="23" t="str">
        <f t="shared" si="1"/>
        <v/>
      </c>
      <c r="L21" s="23" t="str">
        <f t="shared" si="1"/>
        <v/>
      </c>
      <c r="M21" s="23" t="str">
        <f t="shared" si="1"/>
        <v/>
      </c>
      <c r="N21" s="23" t="str">
        <f t="shared" si="1"/>
        <v/>
      </c>
      <c r="O21" s="23" t="str">
        <f t="shared" si="1"/>
        <v/>
      </c>
      <c r="P21" s="23" t="str">
        <f t="shared" si="1"/>
        <v/>
      </c>
      <c r="Q21" s="16">
        <f t="shared" si="2"/>
        <v>856.6938187500001</v>
      </c>
    </row>
    <row r="22" spans="1:17" x14ac:dyDescent="0.35">
      <c r="A22" s="5" t="s">
        <v>209</v>
      </c>
      <c r="B22" s="12">
        <v>3600</v>
      </c>
      <c r="C22" s="12">
        <v>4</v>
      </c>
      <c r="D22" s="29">
        <v>0.95</v>
      </c>
      <c r="E22" s="23">
        <f>$B$4*D22</f>
        <v>5.6999999999999995E-2</v>
      </c>
      <c r="F22" s="23">
        <f t="shared" si="1"/>
        <v>5.6999999999999995E-2</v>
      </c>
      <c r="G22" s="23">
        <f t="shared" si="1"/>
        <v>4.8449999999999993E-2</v>
      </c>
      <c r="H22" s="23">
        <f t="shared" si="1"/>
        <v>4.118249999999999E-2</v>
      </c>
      <c r="I22" s="23">
        <f t="shared" si="1"/>
        <v>3.5005124999999991E-2</v>
      </c>
      <c r="J22" s="23" t="str">
        <f t="shared" si="1"/>
        <v/>
      </c>
      <c r="K22" s="23" t="str">
        <f t="shared" si="1"/>
        <v/>
      </c>
      <c r="L22" s="23" t="str">
        <f t="shared" si="1"/>
        <v/>
      </c>
      <c r="M22" s="23" t="str">
        <f t="shared" si="1"/>
        <v/>
      </c>
      <c r="N22" s="23" t="str">
        <f t="shared" si="1"/>
        <v/>
      </c>
      <c r="O22" s="23" t="str">
        <f t="shared" si="1"/>
        <v/>
      </c>
      <c r="P22" s="23" t="str">
        <f t="shared" si="1"/>
        <v/>
      </c>
      <c r="Q22" s="16">
        <f t="shared" si="2"/>
        <v>653.89544999999987</v>
      </c>
    </row>
    <row r="23" spans="1:17" x14ac:dyDescent="0.35">
      <c r="A23" s="5" t="s">
        <v>210</v>
      </c>
      <c r="B23" s="12">
        <v>3200</v>
      </c>
      <c r="C23" s="12">
        <v>3</v>
      </c>
      <c r="D23" s="29">
        <v>0.99</v>
      </c>
      <c r="E23" s="23">
        <f>$B$4*D23</f>
        <v>5.9399999999999994E-2</v>
      </c>
      <c r="F23" s="23">
        <f t="shared" si="1"/>
        <v>5.9399999999999994E-2</v>
      </c>
      <c r="G23" s="23">
        <f t="shared" si="1"/>
        <v>5.0489999999999993E-2</v>
      </c>
      <c r="H23" s="23">
        <f t="shared" si="1"/>
        <v>4.2916499999999989E-2</v>
      </c>
      <c r="I23" s="23" t="str">
        <f t="shared" si="1"/>
        <v/>
      </c>
      <c r="J23" s="23" t="str">
        <f t="shared" si="1"/>
        <v/>
      </c>
      <c r="K23" s="23" t="str">
        <f t="shared" si="1"/>
        <v/>
      </c>
      <c r="L23" s="23" t="str">
        <f t="shared" si="1"/>
        <v/>
      </c>
      <c r="M23" s="23" t="str">
        <f t="shared" si="1"/>
        <v/>
      </c>
      <c r="N23" s="23" t="str">
        <f t="shared" si="1"/>
        <v/>
      </c>
      <c r="O23" s="23" t="str">
        <f t="shared" si="1"/>
        <v/>
      </c>
      <c r="P23" s="23" t="str">
        <f t="shared" si="1"/>
        <v/>
      </c>
      <c r="Q23" s="16">
        <f t="shared" si="2"/>
        <v>488.98079999999993</v>
      </c>
    </row>
    <row r="24" spans="1:17" x14ac:dyDescent="0.35">
      <c r="A24" s="5" t="s">
        <v>211</v>
      </c>
      <c r="B24" s="12">
        <v>3000</v>
      </c>
      <c r="C24" s="12">
        <v>2</v>
      </c>
      <c r="D24" s="29">
        <v>1.02</v>
      </c>
      <c r="E24" s="23">
        <f>$B$4*D24</f>
        <v>6.1199999999999997E-2</v>
      </c>
      <c r="F24" s="23">
        <f t="shared" si="1"/>
        <v>6.1199999999999997E-2</v>
      </c>
      <c r="G24" s="23">
        <f t="shared" si="1"/>
        <v>5.2019999999999997E-2</v>
      </c>
      <c r="H24" s="23" t="str">
        <f t="shared" si="1"/>
        <v/>
      </c>
      <c r="I24" s="23" t="str">
        <f t="shared" si="1"/>
        <v/>
      </c>
      <c r="J24" s="23" t="str">
        <f t="shared" si="1"/>
        <v/>
      </c>
      <c r="K24" s="23" t="str">
        <f t="shared" si="1"/>
        <v/>
      </c>
      <c r="L24" s="23" t="str">
        <f t="shared" si="1"/>
        <v/>
      </c>
      <c r="M24" s="23" t="str">
        <f t="shared" si="1"/>
        <v/>
      </c>
      <c r="N24" s="23" t="str">
        <f t="shared" si="1"/>
        <v/>
      </c>
      <c r="O24" s="23" t="str">
        <f t="shared" si="1"/>
        <v/>
      </c>
      <c r="P24" s="23" t="str">
        <f t="shared" si="1"/>
        <v/>
      </c>
      <c r="Q24" s="16">
        <f t="shared" si="2"/>
        <v>339.65999999999997</v>
      </c>
    </row>
    <row r="25" spans="1:17" x14ac:dyDescent="0.35">
      <c r="A25" s="5" t="s">
        <v>212</v>
      </c>
      <c r="B25" s="12">
        <v>3000</v>
      </c>
      <c r="C25" s="12">
        <v>1</v>
      </c>
      <c r="D25" s="29">
        <v>1.01</v>
      </c>
      <c r="E25" s="23">
        <f>$B$4*D25</f>
        <v>6.0600000000000001E-2</v>
      </c>
      <c r="F25" s="23">
        <f t="shared" si="1"/>
        <v>6.0600000000000001E-2</v>
      </c>
      <c r="G25" s="23" t="str">
        <f t="shared" si="1"/>
        <v/>
      </c>
      <c r="H25" s="23" t="str">
        <f t="shared" si="1"/>
        <v/>
      </c>
      <c r="I25" s="23" t="str">
        <f t="shared" si="1"/>
        <v/>
      </c>
      <c r="J25" s="23" t="str">
        <f t="shared" si="1"/>
        <v/>
      </c>
      <c r="K25" s="23" t="str">
        <f t="shared" si="1"/>
        <v/>
      </c>
      <c r="L25" s="23" t="str">
        <f t="shared" si="1"/>
        <v/>
      </c>
      <c r="M25" s="23" t="str">
        <f t="shared" si="1"/>
        <v/>
      </c>
      <c r="N25" s="23" t="str">
        <f t="shared" si="1"/>
        <v/>
      </c>
      <c r="O25" s="23" t="str">
        <f t="shared" si="1"/>
        <v/>
      </c>
      <c r="P25" s="23" t="str">
        <f t="shared" si="1"/>
        <v/>
      </c>
      <c r="Q25" s="16">
        <f t="shared" si="2"/>
        <v>181.8</v>
      </c>
    </row>
    <row r="26" spans="1:17" x14ac:dyDescent="0.35">
      <c r="A26" s="5" t="s">
        <v>213</v>
      </c>
      <c r="B26" s="12">
        <v>3200</v>
      </c>
      <c r="C26" s="12">
        <v>0</v>
      </c>
      <c r="D26" s="29">
        <v>0.99</v>
      </c>
      <c r="E26" s="23">
        <f>$B$4*D26</f>
        <v>5.9399999999999994E-2</v>
      </c>
      <c r="F26" s="23" t="str">
        <f t="shared" si="1"/>
        <v/>
      </c>
      <c r="G26" s="23" t="str">
        <f t="shared" si="1"/>
        <v/>
      </c>
      <c r="H26" s="23" t="str">
        <f t="shared" si="1"/>
        <v/>
      </c>
      <c r="I26" s="23" t="str">
        <f t="shared" si="1"/>
        <v/>
      </c>
      <c r="J26" s="23" t="str">
        <f t="shared" si="1"/>
        <v/>
      </c>
      <c r="K26" s="23" t="str">
        <f t="shared" si="1"/>
        <v/>
      </c>
      <c r="L26" s="23" t="str">
        <f t="shared" si="1"/>
        <v/>
      </c>
      <c r="M26" s="23" t="str">
        <f t="shared" si="1"/>
        <v/>
      </c>
      <c r="N26" s="23" t="str">
        <f t="shared" si="1"/>
        <v/>
      </c>
      <c r="O26" s="23" t="str">
        <f t="shared" si="1"/>
        <v/>
      </c>
      <c r="P26" s="23" t="str">
        <f t="shared" si="1"/>
        <v/>
      </c>
      <c r="Q26" s="16">
        <f t="shared" si="2"/>
        <v>0</v>
      </c>
    </row>
    <row r="27" spans="1:17" x14ac:dyDescent="0.35">
      <c r="A27" s="11" t="s">
        <v>114</v>
      </c>
      <c r="B27" s="21">
        <f>SUM(B15:B26)</f>
        <v>40000</v>
      </c>
      <c r="Q27" s="21">
        <f>SUM(Q15:Q26)</f>
        <v>7656.9802310209416</v>
      </c>
    </row>
    <row r="29" spans="1:17" x14ac:dyDescent="0.35">
      <c r="A29" s="9" t="s">
        <v>214</v>
      </c>
      <c r="B29" s="10" t="s">
        <v>215</v>
      </c>
    </row>
    <row r="30" spans="1:17" x14ac:dyDescent="0.35">
      <c r="A30" s="5" t="s">
        <v>216</v>
      </c>
      <c r="B30" s="30">
        <f>SUM(D45:D79)</f>
        <v>0.39047872118908888</v>
      </c>
    </row>
    <row r="31" spans="1:17" x14ac:dyDescent="0.35">
      <c r="A31" s="5" t="s">
        <v>217</v>
      </c>
      <c r="B31" s="30">
        <f>1+B30</f>
        <v>1.3904787211890888</v>
      </c>
    </row>
    <row r="32" spans="1:17" x14ac:dyDescent="0.35">
      <c r="A32" s="11" t="s">
        <v>218</v>
      </c>
      <c r="B32" s="21">
        <f>B31*B9</f>
        <v>1475.6691810001807</v>
      </c>
    </row>
    <row r="33" spans="1:4" x14ac:dyDescent="0.35">
      <c r="A33" s="5" t="s">
        <v>219</v>
      </c>
      <c r="B33" s="16">
        <f>B31*B10</f>
        <v>3337.148930853813</v>
      </c>
    </row>
    <row r="34" spans="1:4" x14ac:dyDescent="0.35">
      <c r="A34" s="11" t="s">
        <v>220</v>
      </c>
      <c r="B34" s="31">
        <f>B32/B11</f>
        <v>1.0540494150001292</v>
      </c>
    </row>
    <row r="35" spans="1:4" x14ac:dyDescent="0.35">
      <c r="A35" s="5" t="s">
        <v>221</v>
      </c>
      <c r="B35" s="32">
        <f>B33/B11</f>
        <v>2.3836778077527234</v>
      </c>
    </row>
    <row r="36" spans="1:4" x14ac:dyDescent="0.35">
      <c r="A36" s="5" t="s">
        <v>222</v>
      </c>
      <c r="B36" s="32">
        <f>B33/B12</f>
        <v>3.1782370770036312</v>
      </c>
    </row>
    <row r="37" spans="1:4" x14ac:dyDescent="0.35">
      <c r="A37" s="5" t="s">
        <v>223</v>
      </c>
      <c r="B37" s="16">
        <f>(1+SUMPRODUCT(B45:B55,C45:C55))*B9</f>
        <v>1414.7354551197016</v>
      </c>
    </row>
    <row r="38" spans="1:4" x14ac:dyDescent="0.35">
      <c r="A38" s="5" t="s">
        <v>224</v>
      </c>
      <c r="B38" s="16">
        <f>MAX(0,B7-12)</f>
        <v>12</v>
      </c>
    </row>
    <row r="44" spans="1:4" ht="39" x14ac:dyDescent="0.35">
      <c r="A44" s="9" t="s">
        <v>225</v>
      </c>
      <c r="B44" s="10" t="s">
        <v>226</v>
      </c>
      <c r="C44" s="10" t="s">
        <v>227</v>
      </c>
      <c r="D44" s="10" t="s">
        <v>228</v>
      </c>
    </row>
    <row r="45" spans="1:4" x14ac:dyDescent="0.35">
      <c r="A45" s="12">
        <v>1</v>
      </c>
      <c r="B45" s="23">
        <f t="shared" ref="B45:B79" si="3">$B$4*$B$5^(A45-1)</f>
        <v>0.06</v>
      </c>
      <c r="C45" s="26">
        <f t="shared" ref="C45:C79" si="4">1/(1+$B$8)^(A45/12)</f>
        <v>1</v>
      </c>
      <c r="D45" s="26">
        <f t="shared" ref="D45:D79" si="5">IF(A45&lt;=$B$7-1,B45*C45,0)</f>
        <v>0.06</v>
      </c>
    </row>
    <row r="46" spans="1:4" x14ac:dyDescent="0.35">
      <c r="A46" s="12">
        <v>2</v>
      </c>
      <c r="B46" s="23">
        <f t="shared" si="3"/>
        <v>5.0999999999999997E-2</v>
      </c>
      <c r="C46" s="26">
        <f t="shared" si="4"/>
        <v>1</v>
      </c>
      <c r="D46" s="26">
        <f t="shared" si="5"/>
        <v>5.0999999999999997E-2</v>
      </c>
    </row>
    <row r="47" spans="1:4" x14ac:dyDescent="0.35">
      <c r="A47" s="12">
        <v>3</v>
      </c>
      <c r="B47" s="23">
        <f t="shared" si="3"/>
        <v>4.3349999999999993E-2</v>
      </c>
      <c r="C47" s="26">
        <f t="shared" si="4"/>
        <v>1</v>
      </c>
      <c r="D47" s="26">
        <f t="shared" si="5"/>
        <v>4.3349999999999993E-2</v>
      </c>
    </row>
    <row r="48" spans="1:4" x14ac:dyDescent="0.35">
      <c r="A48" s="12">
        <v>4</v>
      </c>
      <c r="B48" s="23">
        <f t="shared" si="3"/>
        <v>3.6847499999999991E-2</v>
      </c>
      <c r="C48" s="26">
        <f t="shared" si="4"/>
        <v>1</v>
      </c>
      <c r="D48" s="26">
        <f t="shared" si="5"/>
        <v>3.6847499999999991E-2</v>
      </c>
    </row>
    <row r="49" spans="1:4" x14ac:dyDescent="0.35">
      <c r="A49" s="12">
        <v>5</v>
      </c>
      <c r="B49" s="23">
        <f t="shared" si="3"/>
        <v>3.1320374999999991E-2</v>
      </c>
      <c r="C49" s="26">
        <f t="shared" si="4"/>
        <v>1</v>
      </c>
      <c r="D49" s="26">
        <f t="shared" si="5"/>
        <v>3.1320374999999991E-2</v>
      </c>
    </row>
    <row r="50" spans="1:4" x14ac:dyDescent="0.35">
      <c r="A50" s="12">
        <v>6</v>
      </c>
      <c r="B50" s="23">
        <f t="shared" si="3"/>
        <v>2.6622318749999992E-2</v>
      </c>
      <c r="C50" s="26">
        <f t="shared" si="4"/>
        <v>1</v>
      </c>
      <c r="D50" s="26">
        <f t="shared" si="5"/>
        <v>2.6622318749999992E-2</v>
      </c>
    </row>
    <row r="51" spans="1:4" x14ac:dyDescent="0.35">
      <c r="A51" s="12">
        <v>7</v>
      </c>
      <c r="B51" s="23">
        <f t="shared" si="3"/>
        <v>2.2628970937499993E-2</v>
      </c>
      <c r="C51" s="26">
        <f t="shared" si="4"/>
        <v>1</v>
      </c>
      <c r="D51" s="26">
        <f t="shared" si="5"/>
        <v>2.2628970937499993E-2</v>
      </c>
    </row>
    <row r="52" spans="1:4" x14ac:dyDescent="0.35">
      <c r="A52" s="12">
        <v>8</v>
      </c>
      <c r="B52" s="23">
        <f t="shared" si="3"/>
        <v>1.9234625296874992E-2</v>
      </c>
      <c r="C52" s="26">
        <f t="shared" si="4"/>
        <v>1</v>
      </c>
      <c r="D52" s="26">
        <f t="shared" si="5"/>
        <v>1.9234625296874992E-2</v>
      </c>
    </row>
    <row r="53" spans="1:4" x14ac:dyDescent="0.35">
      <c r="A53" s="12">
        <v>9</v>
      </c>
      <c r="B53" s="23">
        <f t="shared" si="3"/>
        <v>1.6349431502343744E-2</v>
      </c>
      <c r="C53" s="26">
        <f t="shared" si="4"/>
        <v>1</v>
      </c>
      <c r="D53" s="26">
        <f t="shared" si="5"/>
        <v>1.6349431502343744E-2</v>
      </c>
    </row>
    <row r="54" spans="1:4" x14ac:dyDescent="0.35">
      <c r="A54" s="12">
        <v>10</v>
      </c>
      <c r="B54" s="23">
        <f t="shared" si="3"/>
        <v>1.3897016776992182E-2</v>
      </c>
      <c r="C54" s="26">
        <f t="shared" si="4"/>
        <v>1</v>
      </c>
      <c r="D54" s="26">
        <f t="shared" si="5"/>
        <v>1.3897016776992182E-2</v>
      </c>
    </row>
    <row r="55" spans="1:4" x14ac:dyDescent="0.35">
      <c r="A55" s="12">
        <v>11</v>
      </c>
      <c r="B55" s="23">
        <f t="shared" si="3"/>
        <v>1.1812464260443353E-2</v>
      </c>
      <c r="C55" s="26">
        <f t="shared" si="4"/>
        <v>1</v>
      </c>
      <c r="D55" s="26">
        <f t="shared" si="5"/>
        <v>1.1812464260443353E-2</v>
      </c>
    </row>
    <row r="56" spans="1:4" x14ac:dyDescent="0.35">
      <c r="A56" s="12">
        <v>12</v>
      </c>
      <c r="B56" s="23">
        <f t="shared" si="3"/>
        <v>1.0040594621376851E-2</v>
      </c>
      <c r="C56" s="26">
        <f t="shared" si="4"/>
        <v>1</v>
      </c>
      <c r="D56" s="26">
        <f t="shared" si="5"/>
        <v>1.0040594621376851E-2</v>
      </c>
    </row>
    <row r="57" spans="1:4" x14ac:dyDescent="0.35">
      <c r="A57" s="12">
        <v>13</v>
      </c>
      <c r="B57" s="23">
        <f t="shared" si="3"/>
        <v>8.5345054281703216E-3</v>
      </c>
      <c r="C57" s="26">
        <f t="shared" si="4"/>
        <v>1</v>
      </c>
      <c r="D57" s="26">
        <f t="shared" si="5"/>
        <v>8.5345054281703216E-3</v>
      </c>
    </row>
    <row r="58" spans="1:4" x14ac:dyDescent="0.35">
      <c r="A58" s="12">
        <v>14</v>
      </c>
      <c r="B58" s="23">
        <f t="shared" si="3"/>
        <v>7.2543296139447738E-3</v>
      </c>
      <c r="C58" s="26">
        <f t="shared" si="4"/>
        <v>1</v>
      </c>
      <c r="D58" s="26">
        <f t="shared" si="5"/>
        <v>7.2543296139447738E-3</v>
      </c>
    </row>
    <row r="59" spans="1:4" x14ac:dyDescent="0.35">
      <c r="A59" s="12">
        <v>15</v>
      </c>
      <c r="B59" s="23">
        <f t="shared" si="3"/>
        <v>6.1661801718530572E-3</v>
      </c>
      <c r="C59" s="26">
        <f t="shared" si="4"/>
        <v>1</v>
      </c>
      <c r="D59" s="26">
        <f t="shared" si="5"/>
        <v>6.1661801718530572E-3</v>
      </c>
    </row>
    <row r="60" spans="1:4" x14ac:dyDescent="0.35">
      <c r="A60" s="12">
        <v>16</v>
      </c>
      <c r="B60" s="23">
        <f t="shared" si="3"/>
        <v>5.2412531460750977E-3</v>
      </c>
      <c r="C60" s="26">
        <f t="shared" si="4"/>
        <v>1</v>
      </c>
      <c r="D60" s="26">
        <f t="shared" si="5"/>
        <v>5.2412531460750977E-3</v>
      </c>
    </row>
    <row r="61" spans="1:4" x14ac:dyDescent="0.35">
      <c r="A61" s="12">
        <v>17</v>
      </c>
      <c r="B61" s="23">
        <f t="shared" si="3"/>
        <v>4.4550651741638338E-3</v>
      </c>
      <c r="C61" s="26">
        <f t="shared" si="4"/>
        <v>1</v>
      </c>
      <c r="D61" s="26">
        <f t="shared" si="5"/>
        <v>4.4550651741638338E-3</v>
      </c>
    </row>
    <row r="62" spans="1:4" x14ac:dyDescent="0.35">
      <c r="A62" s="12">
        <v>18</v>
      </c>
      <c r="B62" s="23">
        <f t="shared" si="3"/>
        <v>3.7868053980392585E-3</v>
      </c>
      <c r="C62" s="26">
        <f t="shared" si="4"/>
        <v>1</v>
      </c>
      <c r="D62" s="26">
        <f t="shared" si="5"/>
        <v>3.7868053980392585E-3</v>
      </c>
    </row>
    <row r="63" spans="1:4" x14ac:dyDescent="0.35">
      <c r="A63" s="12">
        <v>19</v>
      </c>
      <c r="B63" s="23">
        <f t="shared" si="3"/>
        <v>3.2187845883333696E-3</v>
      </c>
      <c r="C63" s="26">
        <f t="shared" si="4"/>
        <v>1</v>
      </c>
      <c r="D63" s="26">
        <f t="shared" si="5"/>
        <v>3.2187845883333696E-3</v>
      </c>
    </row>
    <row r="64" spans="1:4" x14ac:dyDescent="0.35">
      <c r="A64" s="12">
        <v>20</v>
      </c>
      <c r="B64" s="23">
        <f t="shared" si="3"/>
        <v>2.735966900083364E-3</v>
      </c>
      <c r="C64" s="26">
        <f t="shared" si="4"/>
        <v>1</v>
      </c>
      <c r="D64" s="26">
        <f t="shared" si="5"/>
        <v>2.735966900083364E-3</v>
      </c>
    </row>
    <row r="65" spans="1:4" x14ac:dyDescent="0.35">
      <c r="A65" s="12">
        <v>21</v>
      </c>
      <c r="B65" s="23">
        <f t="shared" si="3"/>
        <v>2.3255718650708594E-3</v>
      </c>
      <c r="C65" s="26">
        <f t="shared" si="4"/>
        <v>1</v>
      </c>
      <c r="D65" s="26">
        <f t="shared" si="5"/>
        <v>2.3255718650708594E-3</v>
      </c>
    </row>
    <row r="66" spans="1:4" x14ac:dyDescent="0.35">
      <c r="A66" s="12">
        <v>22</v>
      </c>
      <c r="B66" s="23">
        <f t="shared" si="3"/>
        <v>1.9767360853102304E-3</v>
      </c>
      <c r="C66" s="26">
        <f t="shared" si="4"/>
        <v>1</v>
      </c>
      <c r="D66" s="26">
        <f t="shared" si="5"/>
        <v>1.9767360853102304E-3</v>
      </c>
    </row>
    <row r="67" spans="1:4" x14ac:dyDescent="0.35">
      <c r="A67" s="12">
        <v>23</v>
      </c>
      <c r="B67" s="23">
        <f t="shared" si="3"/>
        <v>1.6802256725136956E-3</v>
      </c>
      <c r="C67" s="26">
        <f t="shared" si="4"/>
        <v>1</v>
      </c>
      <c r="D67" s="26">
        <f t="shared" si="5"/>
        <v>1.6802256725136956E-3</v>
      </c>
    </row>
    <row r="68" spans="1:4" x14ac:dyDescent="0.35">
      <c r="A68" s="12">
        <v>24</v>
      </c>
      <c r="B68" s="23">
        <f t="shared" si="3"/>
        <v>1.428191821636641E-3</v>
      </c>
      <c r="C68" s="26">
        <f t="shared" si="4"/>
        <v>1</v>
      </c>
      <c r="D68" s="26">
        <f t="shared" si="5"/>
        <v>0</v>
      </c>
    </row>
    <row r="69" spans="1:4" x14ac:dyDescent="0.35">
      <c r="A69" s="12">
        <v>25</v>
      </c>
      <c r="B69" s="23">
        <f t="shared" si="3"/>
        <v>1.213963048391145E-3</v>
      </c>
      <c r="C69" s="26">
        <f t="shared" si="4"/>
        <v>1</v>
      </c>
      <c r="D69" s="26">
        <f t="shared" si="5"/>
        <v>0</v>
      </c>
    </row>
    <row r="70" spans="1:4" x14ac:dyDescent="0.35">
      <c r="A70" s="12">
        <v>26</v>
      </c>
      <c r="B70" s="23">
        <f t="shared" si="3"/>
        <v>1.0318685911324733E-3</v>
      </c>
      <c r="C70" s="26">
        <f t="shared" si="4"/>
        <v>1</v>
      </c>
      <c r="D70" s="26">
        <f t="shared" si="5"/>
        <v>0</v>
      </c>
    </row>
    <row r="71" spans="1:4" x14ac:dyDescent="0.35">
      <c r="A71" s="12">
        <v>27</v>
      </c>
      <c r="B71" s="23">
        <f t="shared" si="3"/>
        <v>8.7708830246260221E-4</v>
      </c>
      <c r="C71" s="26">
        <f t="shared" si="4"/>
        <v>1</v>
      </c>
      <c r="D71" s="26">
        <f t="shared" si="5"/>
        <v>0</v>
      </c>
    </row>
    <row r="72" spans="1:4" x14ac:dyDescent="0.35">
      <c r="A72" s="12">
        <v>28</v>
      </c>
      <c r="B72" s="23">
        <f t="shared" si="3"/>
        <v>7.4552505709321191E-4</v>
      </c>
      <c r="C72" s="26">
        <f t="shared" si="4"/>
        <v>1</v>
      </c>
      <c r="D72" s="26">
        <f t="shared" si="5"/>
        <v>0</v>
      </c>
    </row>
    <row r="73" spans="1:4" x14ac:dyDescent="0.35">
      <c r="A73" s="12">
        <v>29</v>
      </c>
      <c r="B73" s="23">
        <f t="shared" si="3"/>
        <v>6.3369629852922998E-4</v>
      </c>
      <c r="C73" s="26">
        <f t="shared" si="4"/>
        <v>1</v>
      </c>
      <c r="D73" s="26">
        <f t="shared" si="5"/>
        <v>0</v>
      </c>
    </row>
    <row r="74" spans="1:4" x14ac:dyDescent="0.35">
      <c r="A74" s="12">
        <v>30</v>
      </c>
      <c r="B74" s="23">
        <f t="shared" si="3"/>
        <v>5.3864185374984553E-4</v>
      </c>
      <c r="C74" s="26">
        <f t="shared" si="4"/>
        <v>1</v>
      </c>
      <c r="D74" s="26">
        <f t="shared" si="5"/>
        <v>0</v>
      </c>
    </row>
    <row r="75" spans="1:4" x14ac:dyDescent="0.35">
      <c r="A75" s="12">
        <v>31</v>
      </c>
      <c r="B75" s="23">
        <f t="shared" si="3"/>
        <v>4.5784557568736867E-4</v>
      </c>
      <c r="C75" s="26">
        <f t="shared" si="4"/>
        <v>1</v>
      </c>
      <c r="D75" s="26">
        <f t="shared" si="5"/>
        <v>0</v>
      </c>
    </row>
    <row r="76" spans="1:4" x14ac:dyDescent="0.35">
      <c r="A76" s="12">
        <v>32</v>
      </c>
      <c r="B76" s="23">
        <f t="shared" si="3"/>
        <v>3.8916873933426326E-4</v>
      </c>
      <c r="C76" s="26">
        <f t="shared" si="4"/>
        <v>1</v>
      </c>
      <c r="D76" s="26">
        <f t="shared" si="5"/>
        <v>0</v>
      </c>
    </row>
    <row r="77" spans="1:4" x14ac:dyDescent="0.35">
      <c r="A77" s="12">
        <v>33</v>
      </c>
      <c r="B77" s="23">
        <f t="shared" si="3"/>
        <v>3.3079342843412386E-4</v>
      </c>
      <c r="C77" s="26">
        <f t="shared" si="4"/>
        <v>1</v>
      </c>
      <c r="D77" s="26">
        <f t="shared" si="5"/>
        <v>0</v>
      </c>
    </row>
    <row r="78" spans="1:4" x14ac:dyDescent="0.35">
      <c r="A78" s="12">
        <v>34</v>
      </c>
      <c r="B78" s="23">
        <f t="shared" si="3"/>
        <v>2.8117441416900527E-4</v>
      </c>
      <c r="C78" s="26">
        <f t="shared" si="4"/>
        <v>1</v>
      </c>
      <c r="D78" s="26">
        <f t="shared" si="5"/>
        <v>0</v>
      </c>
    </row>
    <row r="79" spans="1:4" x14ac:dyDescent="0.35">
      <c r="A79" s="12">
        <v>35</v>
      </c>
      <c r="B79" s="23">
        <f t="shared" si="3"/>
        <v>2.3899825204365445E-4</v>
      </c>
      <c r="C79" s="26">
        <f t="shared" si="4"/>
        <v>1</v>
      </c>
      <c r="D79" s="26">
        <f t="shared" si="5"/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workbookViewId="0"/>
  </sheetViews>
  <sheetFormatPr defaultRowHeight="14.5" x14ac:dyDescent="0.35"/>
  <cols>
    <col min="1" max="1" width="26" customWidth="1"/>
    <col min="2" max="2" width="110" customWidth="1"/>
  </cols>
  <sheetData>
    <row r="1" spans="1:2" ht="24" customHeight="1" x14ac:dyDescent="0.4">
      <c r="A1" s="1" t="s">
        <v>229</v>
      </c>
      <c r="B1" s="2"/>
    </row>
    <row r="2" spans="1:2" x14ac:dyDescent="0.35">
      <c r="A2" s="3" t="s">
        <v>230</v>
      </c>
    </row>
    <row r="3" spans="1:2" x14ac:dyDescent="0.35">
      <c r="A3" s="9" t="s">
        <v>231</v>
      </c>
      <c r="B3" s="10" t="s">
        <v>232</v>
      </c>
    </row>
    <row r="4" spans="1:2" ht="25" x14ac:dyDescent="0.35">
      <c r="A4" s="11" t="s">
        <v>233</v>
      </c>
      <c r="B4" s="5" t="s">
        <v>234</v>
      </c>
    </row>
    <row r="5" spans="1:2" ht="25" x14ac:dyDescent="0.35">
      <c r="A5" s="11" t="s">
        <v>144</v>
      </c>
      <c r="B5" s="5" t="s">
        <v>235</v>
      </c>
    </row>
    <row r="6" spans="1:2" ht="25" x14ac:dyDescent="0.35">
      <c r="A6" s="11" t="s">
        <v>236</v>
      </c>
      <c r="B6" s="5" t="s">
        <v>237</v>
      </c>
    </row>
    <row r="7" spans="1:2" ht="25" x14ac:dyDescent="0.35">
      <c r="A7" s="11" t="s">
        <v>238</v>
      </c>
      <c r="B7" s="5" t="s">
        <v>239</v>
      </c>
    </row>
    <row r="8" spans="1:2" ht="25" x14ac:dyDescent="0.35">
      <c r="A8" s="11" t="s">
        <v>240</v>
      </c>
      <c r="B8" s="5" t="s">
        <v>241</v>
      </c>
    </row>
    <row r="10" spans="1:2" x14ac:dyDescent="0.35">
      <c r="A10" s="4" t="s">
        <v>242</v>
      </c>
    </row>
    <row r="11" spans="1:2" ht="25" x14ac:dyDescent="0.35">
      <c r="A11" s="11" t="s">
        <v>243</v>
      </c>
      <c r="B11" s="5" t="s">
        <v>244</v>
      </c>
    </row>
    <row r="12" spans="1:2" x14ac:dyDescent="0.35">
      <c r="A12" s="11" t="s">
        <v>245</v>
      </c>
      <c r="B12" s="5" t="s">
        <v>246</v>
      </c>
    </row>
    <row r="13" spans="1:2" ht="25" x14ac:dyDescent="0.35">
      <c r="A13" s="11" t="s">
        <v>247</v>
      </c>
      <c r="B13" s="5" t="s">
        <v>248</v>
      </c>
    </row>
    <row r="14" spans="1:2" x14ac:dyDescent="0.35">
      <c r="A14" s="11" t="s">
        <v>249</v>
      </c>
      <c r="B14" s="5" t="s">
        <v>250</v>
      </c>
    </row>
    <row r="15" spans="1:2" x14ac:dyDescent="0.35">
      <c r="A15" s="11" t="s">
        <v>251</v>
      </c>
      <c r="B15" s="5" t="s">
        <v>252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/>
  </sheetViews>
  <sheetFormatPr defaultRowHeight="14.5" x14ac:dyDescent="0.35"/>
  <cols>
    <col min="1" max="1" width="40" customWidth="1"/>
    <col min="2" max="3" width="16" customWidth="1"/>
    <col min="4" max="4" width="14" customWidth="1"/>
    <col min="5" max="6" width="12" customWidth="1"/>
  </cols>
  <sheetData>
    <row r="1" spans="1:6" ht="24" customHeight="1" x14ac:dyDescent="0.4">
      <c r="A1" s="1" t="s">
        <v>253</v>
      </c>
      <c r="B1" s="2"/>
      <c r="C1" s="2"/>
      <c r="D1" s="2"/>
      <c r="E1" s="2"/>
      <c r="F1" s="2"/>
    </row>
    <row r="2" spans="1:6" x14ac:dyDescent="0.35">
      <c r="A2" s="3" t="s">
        <v>254</v>
      </c>
    </row>
    <row r="3" spans="1:6" x14ac:dyDescent="0.35">
      <c r="A3" s="9" t="s">
        <v>255</v>
      </c>
      <c r="B3" s="10" t="s">
        <v>256</v>
      </c>
      <c r="C3" s="10" t="s">
        <v>257</v>
      </c>
      <c r="D3" s="10" t="s">
        <v>258</v>
      </c>
      <c r="E3" s="10" t="s">
        <v>259</v>
      </c>
      <c r="F3" s="10" t="s">
        <v>260</v>
      </c>
    </row>
    <row r="4" spans="1:6" x14ac:dyDescent="0.35">
      <c r="A4" s="5" t="s">
        <v>261</v>
      </c>
      <c r="B4" s="15">
        <v>49.1175</v>
      </c>
      <c r="C4" s="19">
        <f>'03_Channel_PnL'!E5</f>
        <v>49.1175</v>
      </c>
      <c r="D4" s="17">
        <f t="shared" ref="D4:D16" si="0">IF(ISNUMBER(C4),C4-B4,"")</f>
        <v>0</v>
      </c>
      <c r="E4" s="33" t="str">
        <f t="shared" ref="E4:E16" si="1">IF(NOT(ISNUMBER(C4)),"Not built",IF(ABS(D4)&lt;=F4+0.000000001,"Agrees","Check"))</f>
        <v>Agrees</v>
      </c>
      <c r="F4" s="15">
        <v>0.01</v>
      </c>
    </row>
    <row r="5" spans="1:6" x14ac:dyDescent="0.35">
      <c r="A5" s="5" t="s">
        <v>41</v>
      </c>
      <c r="B5" s="15">
        <v>30</v>
      </c>
      <c r="C5" s="19">
        <f>'03_Channel_PnL'!E12</f>
        <v>30</v>
      </c>
      <c r="D5" s="17">
        <f t="shared" si="0"/>
        <v>0</v>
      </c>
      <c r="E5" s="33" t="str">
        <f t="shared" si="1"/>
        <v>Agrees</v>
      </c>
      <c r="F5" s="15">
        <v>0.01</v>
      </c>
    </row>
    <row r="6" spans="1:6" x14ac:dyDescent="0.35">
      <c r="A6" s="5" t="s">
        <v>262</v>
      </c>
      <c r="B6" s="15">
        <v>10.1671</v>
      </c>
      <c r="C6" s="19">
        <f>'03_Channel_PnL'!E26</f>
        <v>10.167135</v>
      </c>
      <c r="D6" s="17">
        <f t="shared" si="0"/>
        <v>3.5000000000451337E-5</v>
      </c>
      <c r="E6" s="33" t="str">
        <f t="shared" si="1"/>
        <v>Agrees</v>
      </c>
      <c r="F6" s="15">
        <v>0.01</v>
      </c>
    </row>
    <row r="7" spans="1:6" x14ac:dyDescent="0.35">
      <c r="A7" s="5" t="s">
        <v>263</v>
      </c>
      <c r="B7" s="15">
        <v>3.3871000000000002</v>
      </c>
      <c r="C7" s="19">
        <f>'03_Channel_PnL'!E28</f>
        <v>3.3871350000000011</v>
      </c>
      <c r="D7" s="17">
        <f t="shared" si="0"/>
        <v>3.5000000000895426E-5</v>
      </c>
      <c r="E7" s="33" t="str">
        <f t="shared" si="1"/>
        <v>Agrees</v>
      </c>
      <c r="F7" s="15">
        <v>0.01</v>
      </c>
    </row>
    <row r="8" spans="1:6" x14ac:dyDescent="0.35">
      <c r="A8" s="5" t="s">
        <v>264</v>
      </c>
      <c r="B8" s="15">
        <v>11.8391</v>
      </c>
      <c r="C8" s="19">
        <f>'03_Channel_PnL'!C48</f>
        <v>11.839123999999996</v>
      </c>
      <c r="D8" s="17">
        <f t="shared" si="0"/>
        <v>2.3999999996249244E-5</v>
      </c>
      <c r="E8" s="33" t="str">
        <f t="shared" si="1"/>
        <v>Agrees</v>
      </c>
      <c r="F8" s="15">
        <v>0.01</v>
      </c>
    </row>
    <row r="9" spans="1:6" x14ac:dyDescent="0.35">
      <c r="A9" s="5" t="s">
        <v>265</v>
      </c>
      <c r="B9" s="12">
        <v>1061.2670000000001</v>
      </c>
      <c r="C9" s="20">
        <f>'03_Channel_PnL'!B37</f>
        <v>1061.2670000000001</v>
      </c>
      <c r="D9" s="16">
        <f t="shared" si="0"/>
        <v>0</v>
      </c>
      <c r="E9" s="33" t="str">
        <f t="shared" si="1"/>
        <v>Agrees</v>
      </c>
      <c r="F9" s="12">
        <v>1</v>
      </c>
    </row>
    <row r="10" spans="1:6" x14ac:dyDescent="0.35">
      <c r="A10" s="5" t="s">
        <v>266</v>
      </c>
      <c r="B10" s="12">
        <v>524.96669999999995</v>
      </c>
      <c r="C10" s="20">
        <f>'03_Channel_PnL'!C37</f>
        <v>524.9666666666667</v>
      </c>
      <c r="D10" s="16">
        <f t="shared" si="0"/>
        <v>-3.3333333249174757E-5</v>
      </c>
      <c r="E10" s="33" t="str">
        <f t="shared" si="1"/>
        <v>Agrees</v>
      </c>
      <c r="F10" s="12">
        <v>1</v>
      </c>
    </row>
    <row r="11" spans="1:6" x14ac:dyDescent="0.35">
      <c r="A11" s="5" t="s">
        <v>267</v>
      </c>
      <c r="B11" s="12">
        <v>540.4</v>
      </c>
      <c r="C11" s="20">
        <f>'03_Channel_PnL'!D39</f>
        <v>540.4000000000002</v>
      </c>
      <c r="D11" s="16">
        <f t="shared" si="0"/>
        <v>2.2737367544323206E-13</v>
      </c>
      <c r="E11" s="33" t="str">
        <f t="shared" si="1"/>
        <v>Agrees</v>
      </c>
      <c r="F11" s="12">
        <v>1</v>
      </c>
    </row>
    <row r="12" spans="1:6" x14ac:dyDescent="0.35">
      <c r="A12" s="5" t="s">
        <v>268</v>
      </c>
      <c r="B12" s="12">
        <v>1400</v>
      </c>
      <c r="C12" s="20">
        <f>'04_CAC'!B17</f>
        <v>1400</v>
      </c>
      <c r="D12" s="16">
        <f t="shared" si="0"/>
        <v>0</v>
      </c>
      <c r="E12" s="33" t="str">
        <f t="shared" si="1"/>
        <v>Agrees</v>
      </c>
      <c r="F12" s="12">
        <v>1</v>
      </c>
    </row>
    <row r="13" spans="1:6" x14ac:dyDescent="0.35">
      <c r="A13" s="5" t="s">
        <v>269</v>
      </c>
      <c r="B13" s="12">
        <v>1050</v>
      </c>
      <c r="C13" s="20">
        <f>'04_CAC'!B19</f>
        <v>1050</v>
      </c>
      <c r="D13" s="16">
        <f t="shared" si="0"/>
        <v>0</v>
      </c>
      <c r="E13" s="33" t="str">
        <f t="shared" si="1"/>
        <v>Agrees</v>
      </c>
      <c r="F13" s="12">
        <v>1</v>
      </c>
    </row>
    <row r="14" spans="1:6" x14ac:dyDescent="0.35">
      <c r="A14" s="5" t="s">
        <v>270</v>
      </c>
      <c r="B14" s="12">
        <v>11</v>
      </c>
      <c r="C14" s="20">
        <f>'04_CAC'!B22</f>
        <v>11</v>
      </c>
      <c r="D14" s="16">
        <f t="shared" si="0"/>
        <v>0</v>
      </c>
      <c r="E14" s="33" t="str">
        <f t="shared" si="1"/>
        <v>Agrees</v>
      </c>
      <c r="F14" s="12">
        <v>0</v>
      </c>
    </row>
    <row r="15" spans="1:6" x14ac:dyDescent="0.35">
      <c r="A15" s="5" t="s">
        <v>271</v>
      </c>
      <c r="B15" s="12">
        <v>1475.6692</v>
      </c>
      <c r="C15" s="20">
        <f>'05_Cohorts'!B32</f>
        <v>1475.6691810001807</v>
      </c>
      <c r="D15" s="16">
        <f t="shared" si="0"/>
        <v>-1.8999819303644472E-5</v>
      </c>
      <c r="E15" s="33" t="str">
        <f t="shared" si="1"/>
        <v>Agrees</v>
      </c>
      <c r="F15" s="12">
        <v>1</v>
      </c>
    </row>
    <row r="16" spans="1:6" x14ac:dyDescent="0.35">
      <c r="A16" s="5" t="s">
        <v>272</v>
      </c>
      <c r="B16" s="34">
        <v>1.054</v>
      </c>
      <c r="C16" s="35">
        <f>'05_Cohorts'!B34</f>
        <v>1.0540494150001292</v>
      </c>
      <c r="D16" s="32">
        <f t="shared" si="0"/>
        <v>4.9415000129116038E-5</v>
      </c>
      <c r="E16" s="33" t="str">
        <f t="shared" si="1"/>
        <v>Agrees</v>
      </c>
      <c r="F16" s="34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01_Case</vt:lpstr>
      <vt:lpstr>02_Orders</vt:lpstr>
      <vt:lpstr>03_Channel_PnL</vt:lpstr>
      <vt:lpstr>04_CAC</vt:lpstr>
      <vt:lpstr>05_Cohorts</vt:lpstr>
      <vt:lpstr>06_Spec</vt:lpstr>
      <vt:lpstr>07_Answer_Check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Anbuselvan A S</cp:lastModifiedBy>
  <dcterms:created xsi:type="dcterms:W3CDTF">2026-09-24T21:19:10Z</dcterms:created>
  <dcterms:modified xsi:type="dcterms:W3CDTF">2026-09-24T21:19:19Z</dcterms:modified>
</cp:coreProperties>
</file>