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buselvan\Projects\Dissent Courses\studio\public\courses\vendor-databook\"/>
    </mc:Choice>
  </mc:AlternateContent>
  <xr:revisionPtr revIDLastSave="0" documentId="13_ncr:1_{3ECB00BD-B235-4D4A-8D7E-AB3F339020F9}" xr6:coauthVersionLast="47" xr6:coauthVersionMax="47" xr10:uidLastSave="{00000000-0000-0000-0000-000000000000}"/>
  <bookViews>
    <workbookView xWindow="2280" yWindow="2280" windowWidth="14400" windowHeight="8170" xr2:uid="{00000000-000D-0000-FFFF-FFFF00000000}"/>
  </bookViews>
  <sheets>
    <sheet name="ReadMe" sheetId="1" r:id="rId1"/>
    <sheet name="01_Sources" sheetId="2" r:id="rId2"/>
    <sheet name="02_EBITDA_Bridge" sheetId="3" r:id="rId3"/>
    <sheet name="03_Normalisation" sheetId="4" r:id="rId4"/>
    <sheet name="04_NWC_Monthly" sheetId="5" r:id="rId5"/>
    <sheet name="05_Net_Debt" sheetId="6" r:id="rId6"/>
    <sheet name="06_Footnotes" sheetId="7" r:id="rId7"/>
    <sheet name="07_Consistency" sheetId="8" r:id="rId8"/>
    <sheet name="08_AI_Spec" sheetId="9" r:id="rId9"/>
    <sheet name="09_Answer_Check"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4" i="8" l="1"/>
  <c r="C24" i="8" s="1"/>
  <c r="B23" i="8"/>
  <c r="C23" i="8" s="1"/>
  <c r="B22" i="8"/>
  <c r="C22" i="8" s="1"/>
  <c r="B26" i="6"/>
  <c r="C23" i="10" s="1"/>
  <c r="C20" i="6"/>
  <c r="D20" i="6" s="1"/>
  <c r="C19" i="6"/>
  <c r="D19" i="6" s="1"/>
  <c r="D18" i="6"/>
  <c r="C17" i="6"/>
  <c r="D17" i="6" s="1"/>
  <c r="B17" i="6"/>
  <c r="D16" i="6"/>
  <c r="D15" i="6"/>
  <c r="D14" i="6"/>
  <c r="D13" i="6"/>
  <c r="C12" i="6"/>
  <c r="D12" i="6" s="1"/>
  <c r="D11" i="6"/>
  <c r="O30" i="5"/>
  <c r="M30" i="5"/>
  <c r="N30" i="5" s="1"/>
  <c r="P30" i="5" s="1"/>
  <c r="B35" i="5" s="1"/>
  <c r="O29" i="5"/>
  <c r="M29" i="5"/>
  <c r="N29" i="5" s="1"/>
  <c r="O28" i="5"/>
  <c r="M28" i="5"/>
  <c r="N28" i="5" s="1"/>
  <c r="O27" i="5"/>
  <c r="M27" i="5"/>
  <c r="N27" i="5" s="1"/>
  <c r="P27" i="5" s="1"/>
  <c r="O26" i="5"/>
  <c r="M26" i="5"/>
  <c r="N26" i="5" s="1"/>
  <c r="P26" i="5" s="1"/>
  <c r="O25" i="5"/>
  <c r="M25" i="5"/>
  <c r="N25" i="5" s="1"/>
  <c r="P25" i="5" s="1"/>
  <c r="O24" i="5"/>
  <c r="M24" i="5"/>
  <c r="N24" i="5" s="1"/>
  <c r="P24" i="5" s="1"/>
  <c r="O23" i="5"/>
  <c r="M23" i="5"/>
  <c r="N23" i="5" s="1"/>
  <c r="O22" i="5"/>
  <c r="M22" i="5"/>
  <c r="N22" i="5" s="1"/>
  <c r="P22" i="5" s="1"/>
  <c r="O21" i="5"/>
  <c r="M21" i="5"/>
  <c r="N21" i="5" s="1"/>
  <c r="P21" i="5" s="1"/>
  <c r="B37" i="5" s="1"/>
  <c r="C16" i="10" s="1"/>
  <c r="O20" i="5"/>
  <c r="M20" i="5"/>
  <c r="N20" i="5" s="1"/>
  <c r="P20" i="5" s="1"/>
  <c r="O19" i="5"/>
  <c r="M19" i="5"/>
  <c r="N19" i="5" s="1"/>
  <c r="P19" i="5" s="1"/>
  <c r="O18" i="5"/>
  <c r="M18" i="5"/>
  <c r="N18" i="5" s="1"/>
  <c r="P18" i="5" s="1"/>
  <c r="O17" i="5"/>
  <c r="M17" i="5"/>
  <c r="N17" i="5" s="1"/>
  <c r="P17" i="5" s="1"/>
  <c r="O16" i="5"/>
  <c r="M16" i="5"/>
  <c r="N16" i="5" s="1"/>
  <c r="P16" i="5" s="1"/>
  <c r="O15" i="5"/>
  <c r="M15" i="5"/>
  <c r="N15" i="5" s="1"/>
  <c r="P15" i="5" s="1"/>
  <c r="O14" i="5"/>
  <c r="M14" i="5"/>
  <c r="N14" i="5" s="1"/>
  <c r="P14" i="5" s="1"/>
  <c r="O13" i="5"/>
  <c r="M13" i="5"/>
  <c r="N13" i="5" s="1"/>
  <c r="P13" i="5" s="1"/>
  <c r="O12" i="5"/>
  <c r="M12" i="5"/>
  <c r="N12" i="5" s="1"/>
  <c r="P12" i="5" s="1"/>
  <c r="O11" i="5"/>
  <c r="M11" i="5"/>
  <c r="N11" i="5" s="1"/>
  <c r="P11" i="5" s="1"/>
  <c r="O10" i="5"/>
  <c r="M10" i="5"/>
  <c r="N10" i="5" s="1"/>
  <c r="P10" i="5" s="1"/>
  <c r="B21" i="4"/>
  <c r="B19" i="4"/>
  <c r="B18" i="4"/>
  <c r="C13" i="10" s="1"/>
  <c r="B17" i="4"/>
  <c r="C12" i="10" s="1"/>
  <c r="B10" i="4"/>
  <c r="B20" i="4" s="1"/>
  <c r="C14" i="10" s="1"/>
  <c r="F24" i="3"/>
  <c r="E24" i="3"/>
  <c r="D24" i="3"/>
  <c r="C4" i="10" s="1"/>
  <c r="G21" i="3"/>
  <c r="G20" i="3"/>
  <c r="G19" i="3"/>
  <c r="G18" i="3"/>
  <c r="G17" i="3"/>
  <c r="G16" i="3"/>
  <c r="G15" i="3"/>
  <c r="G14" i="3"/>
  <c r="G13" i="3"/>
  <c r="G12" i="3"/>
  <c r="G11" i="3"/>
  <c r="G10" i="3"/>
  <c r="G9" i="3"/>
  <c r="B21" i="8" l="1"/>
  <c r="C21" i="8" s="1"/>
  <c r="B23" i="6"/>
  <c r="E26" i="3"/>
  <c r="C9" i="10" s="1"/>
  <c r="B24" i="6"/>
  <c r="C21" i="10" s="1"/>
  <c r="P23" i="5"/>
  <c r="B33" i="5" s="1"/>
  <c r="P28" i="5"/>
  <c r="D25" i="3"/>
  <c r="D27" i="3" s="1"/>
  <c r="D26" i="3"/>
  <c r="C8" i="10" s="1"/>
  <c r="D8" i="10" s="1"/>
  <c r="E8" i="10" s="1"/>
  <c r="P29" i="5"/>
  <c r="B36" i="5" s="1"/>
  <c r="C18" i="10" s="1"/>
  <c r="B22" i="6"/>
  <c r="B25" i="6" s="1"/>
  <c r="B18" i="8" s="1"/>
  <c r="D4" i="10"/>
  <c r="E4" i="10" s="1"/>
  <c r="C17" i="10"/>
  <c r="B17" i="8"/>
  <c r="D21" i="10"/>
  <c r="E21" i="10"/>
  <c r="D23" i="10"/>
  <c r="E23" i="10" s="1"/>
  <c r="D9" i="10"/>
  <c r="E9" i="10" s="1"/>
  <c r="D16" i="10"/>
  <c r="E16" i="10" s="1"/>
  <c r="D14" i="10"/>
  <c r="E14" i="10" s="1"/>
  <c r="D12" i="10"/>
  <c r="E12" i="10" s="1"/>
  <c r="D13" i="10"/>
  <c r="E13" i="10" s="1"/>
  <c r="C5" i="10"/>
  <c r="B16" i="4"/>
  <c r="C6" i="10"/>
  <c r="F26" i="3"/>
  <c r="E25" i="3"/>
  <c r="F25" i="3"/>
  <c r="C22" i="10" l="1"/>
  <c r="B38" i="5"/>
  <c r="B34" i="5"/>
  <c r="C20" i="10" s="1"/>
  <c r="B32" i="5"/>
  <c r="C19" i="10" s="1"/>
  <c r="B30" i="4"/>
  <c r="B28" i="4"/>
  <c r="B26" i="4"/>
  <c r="F29" i="4"/>
  <c r="F27" i="4"/>
  <c r="B22" i="4"/>
  <c r="C15" i="10" s="1"/>
  <c r="D29" i="4"/>
  <c r="D27" i="4"/>
  <c r="C29" i="4"/>
  <c r="B29" i="4"/>
  <c r="B27" i="4"/>
  <c r="E29" i="4"/>
  <c r="E27" i="4"/>
  <c r="C27" i="4"/>
  <c r="D30" i="4"/>
  <c r="D28" i="4"/>
  <c r="D26" i="4"/>
  <c r="C30" i="4"/>
  <c r="C28" i="4"/>
  <c r="C26" i="4"/>
  <c r="F30" i="4"/>
  <c r="F28" i="4"/>
  <c r="F26" i="4"/>
  <c r="E30" i="4"/>
  <c r="E28" i="4"/>
  <c r="E26" i="4"/>
  <c r="D5" i="10"/>
  <c r="E5" i="10" s="1"/>
  <c r="D18" i="10"/>
  <c r="E18" i="10" s="1"/>
  <c r="D19" i="10"/>
  <c r="E19" i="10" s="1"/>
  <c r="D17" i="10"/>
  <c r="E17" i="10" s="1"/>
  <c r="D20" i="10"/>
  <c r="E20" i="10" s="1"/>
  <c r="E27" i="3"/>
  <c r="C7" i="10"/>
  <c r="D22" i="10"/>
  <c r="E22" i="10" s="1"/>
  <c r="F27" i="3"/>
  <c r="C10" i="10"/>
  <c r="C11" i="10"/>
  <c r="B16" i="8"/>
  <c r="B25" i="8" s="1"/>
  <c r="C25" i="8" s="1"/>
  <c r="B27" i="8" s="1"/>
  <c r="C24" i="10" s="1"/>
  <c r="D6" i="10"/>
  <c r="E6" i="10" s="1"/>
  <c r="D7" i="10" l="1"/>
  <c r="E7" i="10" s="1"/>
  <c r="D15" i="10"/>
  <c r="E15" i="10" s="1"/>
  <c r="D11" i="10"/>
  <c r="E11" i="10" s="1"/>
  <c r="D24" i="10"/>
  <c r="E24" i="10" s="1"/>
  <c r="D10" i="10"/>
  <c r="E10" i="10" s="1"/>
</calcChain>
</file>

<file path=xl/sharedStrings.xml><?xml version="1.0" encoding="utf-8"?>
<sst xmlns="http://schemas.openxmlformats.org/spreadsheetml/2006/main" count="329" uniqueCount="286">
  <si>
    <t>Kalasu Home Appliances Private Limited: vendor databook</t>
  </si>
  <si>
    <t>The Vendor Databook, Dissent Advisory. Fictional company; every figure is constructed for teaching. ₹ Cr unless a row says otherwise; losses in brackets.</t>
  </si>
  <si>
    <t>How to use</t>
  </si>
  <si>
    <t>1</t>
  </si>
  <si>
    <t>Work alongside the course. Each worked example names the sheet it draws on.</t>
  </si>
  <si>
    <t>2</t>
  </si>
  <si>
    <t>Change a blue input or a yellow choice and everything downstream recalculates: the bridge, the normalisation grid, the NWC trend, net debt and the checks.</t>
  </si>
  <si>
    <t>3</t>
  </si>
  <si>
    <t>Compare the results with 09_Answer_Check. It flags any figure that differs from the course by more than its tolerance.</t>
  </si>
  <si>
    <t>4</t>
  </si>
  <si>
    <t>Example: set 02_EBITDA_Bridge B5 to 3 and FY26 diligence-adjusted EBITDA moves to a loss of 4.76, as the final assessment asks.</t>
  </si>
  <si>
    <t>Colour legend</t>
  </si>
  <si>
    <t>Blue text</t>
  </si>
  <si>
    <t>Typed inputs from the case.</t>
  </si>
  <si>
    <t>Black text</t>
  </si>
  <si>
    <t>Formulas.</t>
  </si>
  <si>
    <t>Green text</t>
  </si>
  <si>
    <t>Links to another sheet.</t>
  </si>
  <si>
    <t>Yellow fill</t>
  </si>
  <si>
    <t>Choices the course invites you to change.</t>
  </si>
  <si>
    <t>Sheets</t>
  </si>
  <si>
    <t>01_Sources</t>
  </si>
  <si>
    <t>Every figure’s source, traced to the tie-out workbook and the audited accounts</t>
  </si>
  <si>
    <t>02_EBITDA_Bridge</t>
  </si>
  <si>
    <t>Reported to management-adjusted to diligence-adjusted, for FY25, FY26 and the nine months</t>
  </si>
  <si>
    <t>03_Normalisation</t>
  </si>
  <si>
    <t>Founder pay, rent, ESOP cost and the PF run-rate, with the sensitivity grid</t>
  </si>
  <si>
    <t>04_NWC_Monthly</t>
  </si>
  <si>
    <t>April 2025 to December 2026, line by line, with the definition switches</t>
  </si>
  <si>
    <t>05_Net_Debt</t>
  </si>
  <si>
    <t>Net debt at 31 December 2026 with each item’s classification</t>
  </si>
  <si>
    <t>06_Footnotes</t>
  </si>
  <si>
    <t>The footnotes the pages carry</t>
  </si>
  <si>
    <t>07_Consistency</t>
  </si>
  <si>
    <t>The five checks, as formulas</t>
  </si>
  <si>
    <t>08_AI_Spec</t>
  </si>
  <si>
    <t>The specification for an AI tool</t>
  </si>
  <si>
    <t>09_Answer_Check</t>
  </si>
  <si>
    <t>Your figures against the course</t>
  </si>
  <si>
    <t>The case</t>
  </si>
  <si>
    <t>Product</t>
  </si>
  <si>
    <t>Small kitchen appliances, GST at 18%</t>
  </si>
  <si>
    <t>GMV the founders quote, FY26</t>
  </si>
  <si>
    <t>₹49.12 Cr</t>
  </si>
  <si>
    <t>Net revenue, FY26</t>
  </si>
  <si>
    <t>₹30.00 Cr: website 40%, marketplaces 45%, quick commerce 15%</t>
  </si>
  <si>
    <t>Contribution after marketing (CM3)</t>
  </si>
  <si>
    <t>₹3.39 Cr (11.3%)</t>
  </si>
  <si>
    <t>EBITDA, FY26</t>
  </si>
  <si>
    <t>Loss of ₹4.53 Cr</t>
  </si>
  <si>
    <t>Series A, April 2025</t>
  </si>
  <si>
    <t>₹40.00 Cr from a domestic Category II AIF</t>
  </si>
  <si>
    <t>Cash and investments, 31 March 2026</t>
  </si>
  <si>
    <t>₹32.59 Cr</t>
  </si>
  <si>
    <t>Framework and tax</t>
  </si>
  <si>
    <t>Accounting Standards; Section 115BAA, now Section 200, 25.168%</t>
  </si>
  <si>
    <t>Headcount</t>
  </si>
  <si>
    <t>50, all in Bengaluru</t>
  </si>
  <si>
    <t>Sources</t>
  </si>
  <si>
    <t>Every databook figure starts from a document or a figure the tie-out has already proved.</t>
  </si>
  <si>
    <t>Figure</t>
  </si>
  <si>
    <t>Source</t>
  </si>
  <si>
    <t>Amount</t>
  </si>
  <si>
    <t>FY25 revenue and EBITDA</t>
  </si>
  <si>
    <t>Audited accounts, FY 2024-25</t>
  </si>
  <si>
    <t>FY26 revenue and EBITDA</t>
  </si>
  <si>
    <t>Audited accounts, FY 2025-26; the tie-out’s mapping (01_TB_Map)</t>
  </si>
  <si>
    <t>Nine-month EBITDA</t>
  </si>
  <si>
    <t>December 2026 trial balance after the tie-out’s entries</t>
  </si>
  <si>
    <t>Input tax credit written off</t>
  </si>
  <si>
    <t>Tie-out memo: credit lost to the Section 16(4) date (05_Reconciling_Items)</t>
  </si>
  <si>
    <t>November storage fees, booked in December</t>
  </si>
  <si>
    <t>Tie-out proof of cash: settlement report lines (04_Proof_of_Cash)</t>
  </si>
  <si>
    <t>Operator credits taken up in December (I-02)</t>
  </si>
  <si>
    <t>Tie-out credits reconciliation (03_Credits)</t>
  </si>
  <si>
    <t>TDS short-deducted, FY26 (I-09)</t>
  </si>
  <si>
    <t>Tie-out TDS register against Form 26Q (03_Credits)</t>
  </si>
  <si>
    <t>Marketplace receivable, 31 December 2026</t>
  </si>
  <si>
    <t>Tie-out proof of cash, closing receivable with the held payout and residue</t>
  </si>
  <si>
    <t>Quick commerce receivable, 31 December 2026</t>
  </si>
  <si>
    <t>Tie-out proof of cash, closing receivable</t>
  </si>
  <si>
    <t>Cash and investments, 31 December 2026</t>
  </si>
  <si>
    <t>Bank and fund statements; the tie-out’s December bank reconciliation</t>
  </si>
  <si>
    <t>The EBITDA bridge</t>
  </si>
  <si>
    <t>Reported to management-adjusted to diligence-adjusted, by period. Evidence grades: 3 a third-party document, 2 a company record, 1 management's word.</t>
  </si>
  <si>
    <t>Evidence the diligence column requires (1 to 3)</t>
  </si>
  <si>
    <t>ESOP cost</t>
  </si>
  <si>
    <t>Cost</t>
  </si>
  <si>
    <t>Adjustment</t>
  </si>
  <si>
    <t>Proposed by</t>
  </si>
  <si>
    <t>Evidence</t>
  </si>
  <si>
    <t>FY25</t>
  </si>
  <si>
    <t>FY26</t>
  </si>
  <si>
    <t>9M FY27</t>
  </si>
  <si>
    <t>Accepted</t>
  </si>
  <si>
    <t>Settlement with the agency over the cancelled FY26 festive campaign (I-05)</t>
  </si>
  <si>
    <t>management</t>
  </si>
  <si>
    <t>Founder pay at market (I-06)</t>
  </si>
  <si>
    <t>diligence</t>
  </si>
  <si>
    <t>Hoskote rent to market (I-04)</t>
  </si>
  <si>
    <t>Warranty provision written back from FY25</t>
  </si>
  <si>
    <t>Search fees for senior hires</t>
  </si>
  <si>
    <t>Listing and launch fees on a second quick commerce platform</t>
  </si>
  <si>
    <t>Stock damaged by a roof leak at Bhiwandi, July 2025</t>
  </si>
  <si>
    <t>Price support in the anniversary sale (FY26) and the June sale (nine months)</t>
  </si>
  <si>
    <t>The festive brand campaign, October and November 2026</t>
  </si>
  <si>
    <t>Vendor diligence and legal fees for the Series B</t>
  </si>
  <si>
    <t>ESOP cost for the nine months (I-10)</t>
  </si>
  <si>
    <t>PF on the ₹25,000 wage ceiling for April to September 2026</t>
  </si>
  <si>
    <t>First-generation air fryers written down to net realisable value (I-12)</t>
  </si>
  <si>
    <t>Reported EBITDA</t>
  </si>
  <si>
    <t>Management-adjusted EBITDA</t>
  </si>
  <si>
    <t>Diligence-adjusted EBITDA</t>
  </si>
  <si>
    <t>Management over diligence</t>
  </si>
  <si>
    <t>Normalising the nine months</t>
  </si>
  <si>
    <t>Founder pay and rent to market, ESOP cost, and the PF run-rate, with a sensitivity grid.</t>
  </si>
  <si>
    <t>Founders</t>
  </si>
  <si>
    <t>Actual pay per founder, ₹ lakh a year</t>
  </si>
  <si>
    <t>Market pay per founder, ₹ lakh a year</t>
  </si>
  <si>
    <t>Hoskote, square feet</t>
  </si>
  <si>
    <t>Lease rent, ₹ a sq ft a month</t>
  </si>
  <si>
    <t>Market rent, ₹ a sq ft a month</t>
  </si>
  <si>
    <t>PF step-up, ₹ Cr a month</t>
  </si>
  <si>
    <t>Months the PF run-rate adds</t>
  </si>
  <si>
    <t>ESOP cost, nine months</t>
  </si>
  <si>
    <t>The nine months</t>
  </si>
  <si>
    <t>Founder pay at market</t>
  </si>
  <si>
    <t>Rent to market</t>
  </si>
  <si>
    <t>ESOP cost added back</t>
  </si>
  <si>
    <t>PF run-rate</t>
  </si>
  <si>
    <t>Series B fees and the air fryer write-down, from the bridge</t>
  </si>
  <si>
    <t>Normalised EBITDA, nine months</t>
  </si>
  <si>
    <t>Sensitivity: normalised EBITDA by market pay (rows, ₹ lakh) and market rent (columns, ₹ a sq ft)</t>
  </si>
  <si>
    <t>Net working capital by month, April 2025 to December 2026</t>
  </si>
  <si>
    <t>Monthly balances from the management accounts; March 2026 is the audited balance sheet. From April 2026: stock cover about 100 days, weekly marketplace settlement, quick commerce at 52 days.</t>
  </si>
  <si>
    <t>Tax balances in NWC</t>
  </si>
  <si>
    <t>No</t>
  </si>
  <si>
    <t>Debt-like items in NWC</t>
  </si>
  <si>
    <t>Air fryer write-down booked from September 2026</t>
  </si>
  <si>
    <t>Yes</t>
  </si>
  <si>
    <t>Write-down, ₹ Cr</t>
  </si>
  <si>
    <t>Month</t>
  </si>
  <si>
    <t>Inventory</t>
  </si>
  <si>
    <t>Receivables</t>
  </si>
  <si>
    <t>Trade payables</t>
  </si>
  <si>
    <t>of which beyond 45 days</t>
  </si>
  <si>
    <t>Advances</t>
  </si>
  <si>
    <t>Operating liabilities</t>
  </si>
  <si>
    <t>Warranty</t>
  </si>
  <si>
    <t>Tax balances</t>
  </si>
  <si>
    <t>Statutory payables</t>
  </si>
  <si>
    <t>Capex creditors</t>
  </si>
  <si>
    <t>Gratuity and leave</t>
  </si>
  <si>
    <t>Write-down</t>
  </si>
  <si>
    <t>Trade</t>
  </si>
  <si>
    <t>Other</t>
  </si>
  <si>
    <t>NWC</t>
  </si>
  <si>
    <t>Apr-25</t>
  </si>
  <si>
    <t>May-25</t>
  </si>
  <si>
    <t>Jun-25</t>
  </si>
  <si>
    <t>Jul-25</t>
  </si>
  <si>
    <t>Aug-25</t>
  </si>
  <si>
    <t>Sep-25</t>
  </si>
  <si>
    <t>Oct-25</t>
  </si>
  <si>
    <t>Nov-25</t>
  </si>
  <si>
    <t>Dec-25</t>
  </si>
  <si>
    <t>Jan-26</t>
  </si>
  <si>
    <t>Feb-26</t>
  </si>
  <si>
    <t>Mar-26</t>
  </si>
  <si>
    <t>Apr-26</t>
  </si>
  <si>
    <t>May-26</t>
  </si>
  <si>
    <t>Jun-26</t>
  </si>
  <si>
    <t>Jul-26</t>
  </si>
  <si>
    <t>Aug-26</t>
  </si>
  <si>
    <t>Sep-26</t>
  </si>
  <si>
    <t>Oct-26</t>
  </si>
  <si>
    <t>Nov-26</t>
  </si>
  <si>
    <t>Dec-26</t>
  </si>
  <si>
    <t>Twelve-month average, January to December 2026</t>
  </si>
  <si>
    <t>Trimmed: highest and lowest months removed</t>
  </si>
  <si>
    <t>Nine-month average since the April change of terms</t>
  </si>
  <si>
    <t>December 2026</t>
  </si>
  <si>
    <t>Peak since April 2026</t>
  </si>
  <si>
    <t>March 2026</t>
  </si>
  <si>
    <t>Peak month</t>
  </si>
  <si>
    <t>Net debt at 31 December 2026</t>
  </si>
  <si>
    <t>Cash and cash-like items, less debt, less debt-like items. Four items carry a classification to change.</t>
  </si>
  <si>
    <t>Website pre-orders</t>
  </si>
  <si>
    <t>Working capital</t>
  </si>
  <si>
    <t>Gratuity</t>
  </si>
  <si>
    <t>Actuarial</t>
  </si>
  <si>
    <t>Capex creditor</t>
  </si>
  <si>
    <t>Debt-like</t>
  </si>
  <si>
    <t>Operator credits (I-02)</t>
  </si>
  <si>
    <t>Cash-like</t>
  </si>
  <si>
    <t>Gratuity, provision as booked</t>
  </si>
  <si>
    <t>Item</t>
  </si>
  <si>
    <t>Class</t>
  </si>
  <si>
    <t>In net cash</t>
  </si>
  <si>
    <t>Cash and investments: current accounts, deposits and liquid funds</t>
  </si>
  <si>
    <t>Cash</t>
  </si>
  <si>
    <t>Working capital loan</t>
  </si>
  <si>
    <t>Debt</t>
  </si>
  <si>
    <t>Interest accrued on the loan for December</t>
  </si>
  <si>
    <t>Peenya dues beyond 45 days, with Section 16 interest (I-03 again)</t>
  </si>
  <si>
    <t>TDS short-deducted on the growth retainer (I-09)</t>
  </si>
  <si>
    <t>Gratuity obligation (I-08)</t>
  </si>
  <si>
    <t>Leave encashment</t>
  </si>
  <si>
    <t>Mould maker’s invoice for October’s capex</t>
  </si>
  <si>
    <t>Website pre-orders for January delivery</t>
  </si>
  <si>
    <t>Cash and cash-like</t>
  </si>
  <si>
    <t>Debt-like items</t>
  </si>
  <si>
    <t>Net cash</t>
  </si>
  <si>
    <t>Management's net cash: cash less the loan</t>
  </si>
  <si>
    <t>Footnotes</t>
  </si>
  <si>
    <t>Source, definition, judgment and breaks, one sentence each.</t>
  </si>
  <si>
    <t>EBITDA</t>
  </si>
  <si>
    <t>Profit before tax with finance costs and depreciation added back and other income, the interest on the Series A money, taken out.</t>
  </si>
  <si>
    <t>Nine months</t>
  </si>
  <si>
    <t>The December 2026 trial balance after the tie-out's entries: the lost input tax credit written off and November's storage fees booked. Unaudited.</t>
  </si>
  <si>
    <t>Bridge</t>
  </si>
  <si>
    <t>Adjustments graded by the evidence for their claim. Rejected add-backs stay at nil with a reason. ESOP cost is kept as a cost and shown on its own line.</t>
  </si>
  <si>
    <t>ESOP</t>
  </si>
  <si>
    <t>6,000 options, fair value ₹2,000 each on the registered valuer's model, vesting in full after four years. The auditors took 20 March 2026, the special resolution's date, as the grant date.</t>
  </si>
  <si>
    <t>Rent</t>
  </si>
  <si>
    <t>The add-back survives because a new lease at market rent is a condition precedent in the draft SSA.</t>
  </si>
  <si>
    <t>NWC definition</t>
  </si>
  <si>
    <t>Inventory net of any write-down, receivables and advances, less trade payables on terms, employee dues, accruals, customer advances and warranty. Tax balances shown separately; overdue dues, capex creditors, gratuity and leave in net debt.</t>
  </si>
  <si>
    <t>Break</t>
  </si>
  <si>
    <t>From April 2026 stock cover rose to about 100 days, Marketplace A settles weekly and quick commerce pays at about 52 days. Months either side of April do not compare.</t>
  </si>
  <si>
    <t>Pre-orders</t>
  </si>
  <si>
    <t>₹0.08 Cr of website pre-orders at 31 December kept in NWC; a buyer may treat them as debt-like.</t>
  </si>
  <si>
    <t>Net debt takes the actuarial valuation for the stub; the books carry an ad hoc provision. FY27's average headcount passes 50, so AS 15's relaxation no longer applies.</t>
  </si>
  <si>
    <t>Exposures</t>
  </si>
  <si>
    <t>Contingent tax, GST and labour exposures are not in net debt; they are carried to the exposure register.</t>
  </si>
  <si>
    <t>Consistency checks</t>
  </si>
  <si>
    <t>Each check compares two pages built from different sources. Tolerance: ₹0.5 lakh.</t>
  </si>
  <si>
    <t>Balance sheet at 31 December 2026 and the bank and fund statements</t>
  </si>
  <si>
    <t>Current accounts</t>
  </si>
  <si>
    <t>Fixed deposits</t>
  </si>
  <si>
    <t>Liquid funds</t>
  </si>
  <si>
    <t>Summary page</t>
  </si>
  <si>
    <t>Diligence-adjusted EBITDA, nine months</t>
  </si>
  <si>
    <t>NWC at 31 December 2026</t>
  </si>
  <si>
    <t>Net cash at 31 December 2026</t>
  </si>
  <si>
    <t>Check</t>
  </si>
  <si>
    <t>Difference</t>
  </si>
  <si>
    <t>Result</t>
  </si>
  <si>
    <t>The bridge starts at the P&amp;L's EBITDA</t>
  </si>
  <si>
    <t>NWC at 31 December agrees with the balance sheet</t>
  </si>
  <si>
    <t>Cash agrees with the bank and fund statements</t>
  </si>
  <si>
    <t>Each balance sits in one schedule only</t>
  </si>
  <si>
    <t>The summary page equals the schedules</t>
  </si>
  <si>
    <t>Checks passing</t>
  </si>
  <si>
    <t>Specification for an AI tool</t>
  </si>
  <si>
    <t>Attach this workbook and give the tool the text below. Score its answer against 09_Answer_Check.</t>
  </si>
  <si>
    <t>Company: Kalasu Home Appliances Private Limited, an unlisted Indian private company under Accounting Standards, raising a primary Series B. Build the vendor databook for FY25, FY26 and the nine months to 31 December 2026.</t>
  </si>
  <si>
    <t>02_EBITDA_Bridge: EBITDA excludes other income. For each period show reported, management-adjusted and diligence-adjusted EBITDA. Grade each adjustment by the evidence for its claim (3 third-party document, 2 company record, 1 management's word); the diligence column accepts grade 2 or better and keeps ESOP cost as a cost. Rejected add-backs stay at nil with a reason.</t>
  </si>
  <si>
    <t>03_Normalisation: founder pay to market for two founders, Hoskote rent to market on 40,000 sq ft, ESOP kept as a cost, the PF step-up of October 2026 applied to April to September. Show a sensitivity grid of founder pay against rent. Never annualise a quarter.</t>
  </si>
  <si>
    <t>04_NWC_Monthly: state the definition first. Tax balances shown separately; overdue dues, capex creditors, gratuity and leave in net debt; the air fryers written down to the liquidator's bid from September 2026. Show every month, footnote the April 2026 change of terms, and give the averages, December and the peak without proposing a peg.</t>
  </si>
  <si>
    <t>5</t>
  </si>
  <si>
    <t>05_Net_Debt: cash agreed to statements, the operator credits as cash-like, the loan and its accrued interest as debt, and five debt-like items. Gratuity at the actuarial valuation. Show management's net cash beside the page's figure.</t>
  </si>
  <si>
    <t>6</t>
  </si>
  <si>
    <t>07_Consistency: run the five checks and report each as pass or fail with the figures compared. Do not correct figures silently.</t>
  </si>
  <si>
    <t>Answer check</t>
  </si>
  <si>
    <t>Course figures against this workbook's formulas. A status of Agrees means the difference is within the tolerance.</t>
  </si>
  <si>
    <t>Course figure</t>
  </si>
  <si>
    <t>This workbook</t>
  </si>
  <si>
    <t>Status</t>
  </si>
  <si>
    <t>Tolerance</t>
  </si>
  <si>
    <t>Reported EBITDA, FY25</t>
  </si>
  <si>
    <t>Reported EBITDA, FY26</t>
  </si>
  <si>
    <t>Reported EBITDA, nine months</t>
  </si>
  <si>
    <t>Management-adjusted EBITDA, FY26</t>
  </si>
  <si>
    <t>Diligence-adjusted EBITDA, FY25</t>
  </si>
  <si>
    <t>Diligence-adjusted EBITDA, FY26</t>
  </si>
  <si>
    <t>Management-adjusted EBITDA, nine months</t>
  </si>
  <si>
    <t>Founder pay at market, nine months</t>
  </si>
  <si>
    <t>Rent to market, nine months</t>
  </si>
  <si>
    <t>PF run-rate, nine months</t>
  </si>
  <si>
    <t>NWC at 31 March 2026</t>
  </si>
  <si>
    <t>NWC at the October 2026 peak</t>
  </si>
  <si>
    <t>Twelve-month average NWC</t>
  </si>
  <si>
    <t>Nine-month average NWC</t>
  </si>
  <si>
    <t>Management’s net cash</t>
  </si>
  <si>
    <t>Consistency checks 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</si>
</sst>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quot;-&quot;"/>
    <numFmt numFmtId="165" formatCode="#,##0;\(#,##0\);&quot;-&quot;"/>
    <numFmt numFmtId="166" formatCode="#,##0.00;\(#,##0.00\);&quot;-&quot;"/>
  </numFmts>
  <fonts count="7" x14ac:knownFonts="1">
    <font>
      <sz val="11"/>
      <color theme="1"/>
      <name val="Calibri"/>
      <family val="2"/>
      <scheme val="minor"/>
    </font>
    <font>
      <b/>
      <sz val="14"/>
      <color rgb="FFF3F4F5"/>
      <name val="Arial"/>
    </font>
    <font>
      <sz val="9"/>
      <color rgb="FF41627D"/>
      <name val="Arial"/>
    </font>
    <font>
      <b/>
      <sz val="10"/>
      <color rgb="FF000000"/>
      <name val="Arial"/>
    </font>
    <font>
      <sz val="10"/>
      <color rgb="FF000000"/>
      <name val="Arial"/>
    </font>
    <font>
      <sz val="10"/>
      <color rgb="FF0000FF"/>
      <name val="Arial"/>
    </font>
    <font>
      <sz val="10"/>
      <color rgb="FF008000"/>
      <name val="Arial"/>
    </font>
  </fonts>
  <fills count="5">
    <fill>
      <patternFill patternType="none"/>
    </fill>
    <fill>
      <patternFill patternType="gray125"/>
    </fill>
    <fill>
      <patternFill patternType="solid">
        <fgColor rgb="FF0C0C0F"/>
      </patternFill>
    </fill>
    <fill>
      <patternFill patternType="solid">
        <fgColor rgb="FFFFFF00"/>
      </patternFill>
    </fill>
    <fill>
      <patternFill patternType="solid">
        <fgColor rgb="FFEAEBEE"/>
      </patternFill>
    </fill>
  </fills>
  <borders count="1">
    <border>
      <left/>
      <right/>
      <top/>
      <bottom/>
      <diagonal/>
    </border>
  </borders>
  <cellStyleXfs count="1">
    <xf numFmtId="0" fontId="0" fillId="0" borderId="0"/>
  </cellStyleXfs>
  <cellXfs count="29">
    <xf numFmtId="0" fontId="0" fillId="0" borderId="0" xfId="0"/>
    <xf numFmtId="0" fontId="1" fillId="2" borderId="0" xfId="0" applyFont="1" applyFill="1"/>
    <xf numFmtId="0" fontId="0" fillId="2" borderId="0" xfId="0" applyFill="1"/>
    <xf numFmtId="0" fontId="2" fillId="0" borderId="0" xfId="0" applyFont="1"/>
    <xf numFmtId="0" fontId="3" fillId="0" borderId="0" xfId="0" applyFont="1"/>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3" borderId="0" xfId="0" applyFont="1" applyFill="1" applyAlignment="1">
      <alignment vertical="top" wrapText="1"/>
    </xf>
    <xf numFmtId="0" fontId="3" fillId="4" borderId="0" xfId="0" applyFont="1" applyFill="1" applyAlignment="1">
      <alignment horizontal="left" vertical="center" wrapText="1"/>
    </xf>
    <xf numFmtId="0" fontId="3" fillId="4" borderId="0" xfId="0" applyFont="1" applyFill="1" applyAlignment="1">
      <alignment horizontal="right" vertical="center" wrapText="1"/>
    </xf>
    <xf numFmtId="164" fontId="5" fillId="0" borderId="0" xfId="0" applyNumberFormat="1" applyFont="1" applyAlignment="1">
      <alignment horizontal="right"/>
    </xf>
    <xf numFmtId="0" fontId="5" fillId="3" borderId="0" xfId="0" applyFont="1" applyFill="1" applyAlignment="1">
      <alignment horizontal="left"/>
    </xf>
    <xf numFmtId="165" fontId="5" fillId="0" borderId="0" xfId="0" applyNumberFormat="1" applyFont="1" applyAlignment="1">
      <alignment horizontal="right"/>
    </xf>
    <xf numFmtId="165" fontId="4" fillId="0" borderId="0" xfId="0" applyNumberFormat="1" applyFont="1" applyAlignment="1">
      <alignment horizontal="right"/>
    </xf>
    <xf numFmtId="0" fontId="3" fillId="0" borderId="0" xfId="0" applyFont="1" applyAlignment="1">
      <alignment vertical="top" wrapText="1"/>
    </xf>
    <xf numFmtId="164" fontId="6" fillId="0" borderId="0" xfId="0" applyNumberFormat="1" applyFont="1" applyAlignment="1">
      <alignment horizontal="right"/>
    </xf>
    <xf numFmtId="164" fontId="3" fillId="0" borderId="0" xfId="0" applyNumberFormat="1" applyFont="1" applyAlignment="1">
      <alignment horizontal="right"/>
    </xf>
    <xf numFmtId="164" fontId="4" fillId="0" borderId="0" xfId="0" applyNumberFormat="1" applyFont="1" applyAlignment="1">
      <alignment horizontal="right"/>
    </xf>
    <xf numFmtId="166" fontId="5" fillId="0" borderId="0" xfId="0" applyNumberFormat="1" applyFont="1" applyAlignment="1">
      <alignment horizontal="right"/>
    </xf>
    <xf numFmtId="166" fontId="5" fillId="3" borderId="0" xfId="0" applyNumberFormat="1" applyFont="1" applyFill="1" applyAlignment="1">
      <alignment horizontal="right"/>
    </xf>
    <xf numFmtId="165" fontId="5" fillId="3" borderId="0" xfId="0" applyNumberFormat="1" applyFont="1" applyFill="1" applyAlignment="1">
      <alignment horizontal="right"/>
    </xf>
    <xf numFmtId="166" fontId="4" fillId="0" borderId="0" xfId="0" applyNumberFormat="1" applyFont="1" applyAlignment="1">
      <alignment horizontal="right"/>
    </xf>
    <xf numFmtId="166" fontId="3" fillId="0" borderId="0" xfId="0" applyNumberFormat="1" applyFont="1" applyAlignment="1">
      <alignment horizontal="right"/>
    </xf>
    <xf numFmtId="0" fontId="4" fillId="0" borderId="0" xfId="0" applyFont="1" applyAlignment="1">
      <alignment horizontal="right"/>
    </xf>
    <xf numFmtId="0" fontId="4" fillId="0" borderId="0" xfId="0" applyFont="1" applyAlignment="1">
      <alignment horizontal="left"/>
    </xf>
    <xf numFmtId="0" fontId="3" fillId="0" borderId="0" xfId="0" applyFont="1" applyAlignment="1">
      <alignment horizontal="left"/>
    </xf>
    <xf numFmtId="165" fontId="3" fillId="0" borderId="0" xfId="0" applyNumberFormat="1" applyFont="1" applyAlignment="1">
      <alignment horizontal="right"/>
    </xf>
    <xf numFmtId="165" fontId="6" fillId="0" borderId="0" xfId="0" applyNumberFormat="1" applyFont="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tabSelected="1" workbookViewId="0"/>
  </sheetViews>
  <sheetFormatPr defaultRowHeight="14.5" x14ac:dyDescent="0.35"/>
  <cols>
    <col min="1" max="1" width="34" customWidth="1"/>
    <col min="2" max="2" width="100" customWidth="1"/>
  </cols>
  <sheetData>
    <row r="1" spans="1:2" ht="24" customHeight="1" x14ac:dyDescent="0.4">
      <c r="A1" s="1" t="s">
        <v>0</v>
      </c>
      <c r="B1" s="2"/>
    </row>
    <row r="2" spans="1:2" x14ac:dyDescent="0.35">
      <c r="A2" s="3" t="s">
        <v>1</v>
      </c>
    </row>
    <row r="4" spans="1:2" x14ac:dyDescent="0.35">
      <c r="A4" s="4" t="s">
        <v>2</v>
      </c>
    </row>
    <row r="5" spans="1:2" x14ac:dyDescent="0.35">
      <c r="A5" s="5" t="s">
        <v>3</v>
      </c>
      <c r="B5" s="5" t="s">
        <v>4</v>
      </c>
    </row>
    <row r="6" spans="1:2" ht="25" x14ac:dyDescent="0.35">
      <c r="A6" s="5" t="s">
        <v>5</v>
      </c>
      <c r="B6" s="5" t="s">
        <v>6</v>
      </c>
    </row>
    <row r="7" spans="1:2" x14ac:dyDescent="0.35">
      <c r="A7" s="5" t="s">
        <v>7</v>
      </c>
      <c r="B7" s="5" t="s">
        <v>8</v>
      </c>
    </row>
    <row r="8" spans="1:2" ht="25" x14ac:dyDescent="0.35">
      <c r="A8" s="5" t="s">
        <v>9</v>
      </c>
      <c r="B8" s="5" t="s">
        <v>10</v>
      </c>
    </row>
    <row r="10" spans="1:2" x14ac:dyDescent="0.35">
      <c r="A10" s="4" t="s">
        <v>11</v>
      </c>
    </row>
    <row r="11" spans="1:2" x14ac:dyDescent="0.35">
      <c r="A11" s="6" t="s">
        <v>12</v>
      </c>
      <c r="B11" s="5" t="s">
        <v>13</v>
      </c>
    </row>
    <row r="12" spans="1:2" x14ac:dyDescent="0.35">
      <c r="A12" s="5" t="s">
        <v>14</v>
      </c>
      <c r="B12" s="5" t="s">
        <v>15</v>
      </c>
    </row>
    <row r="13" spans="1:2" x14ac:dyDescent="0.35">
      <c r="A13" s="7" t="s">
        <v>16</v>
      </c>
      <c r="B13" s="5" t="s">
        <v>17</v>
      </c>
    </row>
    <row r="14" spans="1:2" x14ac:dyDescent="0.35">
      <c r="A14" s="8" t="s">
        <v>18</v>
      </c>
      <c r="B14" s="5" t="s">
        <v>19</v>
      </c>
    </row>
    <row r="16" spans="1:2" x14ac:dyDescent="0.35">
      <c r="A16" s="4" t="s">
        <v>20</v>
      </c>
    </row>
    <row r="17" spans="1:2" x14ac:dyDescent="0.35">
      <c r="A17" s="5" t="s">
        <v>21</v>
      </c>
      <c r="B17" s="5" t="s">
        <v>22</v>
      </c>
    </row>
    <row r="18" spans="1:2" x14ac:dyDescent="0.35">
      <c r="A18" s="5" t="s">
        <v>23</v>
      </c>
      <c r="B18" s="5" t="s">
        <v>24</v>
      </c>
    </row>
    <row r="19" spans="1:2" x14ac:dyDescent="0.35">
      <c r="A19" s="5" t="s">
        <v>25</v>
      </c>
      <c r="B19" s="5" t="s">
        <v>26</v>
      </c>
    </row>
    <row r="20" spans="1:2" x14ac:dyDescent="0.35">
      <c r="A20" s="5" t="s">
        <v>27</v>
      </c>
      <c r="B20" s="5" t="s">
        <v>28</v>
      </c>
    </row>
    <row r="21" spans="1:2" x14ac:dyDescent="0.35">
      <c r="A21" s="5" t="s">
        <v>29</v>
      </c>
      <c r="B21" s="5" t="s">
        <v>30</v>
      </c>
    </row>
    <row r="22" spans="1:2" x14ac:dyDescent="0.35">
      <c r="A22" s="5" t="s">
        <v>31</v>
      </c>
      <c r="B22" s="5" t="s">
        <v>32</v>
      </c>
    </row>
    <row r="23" spans="1:2" x14ac:dyDescent="0.35">
      <c r="A23" s="5" t="s">
        <v>33</v>
      </c>
      <c r="B23" s="5" t="s">
        <v>34</v>
      </c>
    </row>
    <row r="24" spans="1:2" x14ac:dyDescent="0.35">
      <c r="A24" s="5" t="s">
        <v>35</v>
      </c>
      <c r="B24" s="5" t="s">
        <v>36</v>
      </c>
    </row>
    <row r="25" spans="1:2" x14ac:dyDescent="0.35">
      <c r="A25" s="5" t="s">
        <v>37</v>
      </c>
      <c r="B25" s="5" t="s">
        <v>38</v>
      </c>
    </row>
    <row r="27" spans="1:2" x14ac:dyDescent="0.35">
      <c r="A27" s="4" t="s">
        <v>39</v>
      </c>
    </row>
    <row r="28" spans="1:2" x14ac:dyDescent="0.35">
      <c r="A28" s="5" t="s">
        <v>40</v>
      </c>
      <c r="B28" s="5" t="s">
        <v>41</v>
      </c>
    </row>
    <row r="29" spans="1:2" x14ac:dyDescent="0.35">
      <c r="A29" s="5" t="s">
        <v>42</v>
      </c>
      <c r="B29" s="5" t="s">
        <v>43</v>
      </c>
    </row>
    <row r="30" spans="1:2" x14ac:dyDescent="0.35">
      <c r="A30" s="5" t="s">
        <v>44</v>
      </c>
      <c r="B30" s="5" t="s">
        <v>45</v>
      </c>
    </row>
    <row r="31" spans="1:2" x14ac:dyDescent="0.35">
      <c r="A31" s="5" t="s">
        <v>46</v>
      </c>
      <c r="B31" s="5" t="s">
        <v>47</v>
      </c>
    </row>
    <row r="32" spans="1:2" x14ac:dyDescent="0.35">
      <c r="A32" s="5" t="s">
        <v>48</v>
      </c>
      <c r="B32" s="5" t="s">
        <v>49</v>
      </c>
    </row>
    <row r="33" spans="1:2" x14ac:dyDescent="0.35">
      <c r="A33" s="5" t="s">
        <v>50</v>
      </c>
      <c r="B33" s="5" t="s">
        <v>51</v>
      </c>
    </row>
    <row r="34" spans="1:2" x14ac:dyDescent="0.35">
      <c r="A34" s="5" t="s">
        <v>52</v>
      </c>
      <c r="B34" s="5" t="s">
        <v>53</v>
      </c>
    </row>
    <row r="35" spans="1:2" x14ac:dyDescent="0.35">
      <c r="A35" s="5" t="s">
        <v>54</v>
      </c>
      <c r="B35" s="5" t="s">
        <v>55</v>
      </c>
    </row>
    <row r="36" spans="1:2" x14ac:dyDescent="0.35">
      <c r="A36" s="5" t="s">
        <v>56</v>
      </c>
      <c r="B36" s="5" t="s">
        <v>57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heetViews>
  <sheetFormatPr defaultRowHeight="14.5" x14ac:dyDescent="0.35"/>
  <cols>
    <col min="1" max="1" width="46" customWidth="1"/>
    <col min="2" max="2" width="80" customWidth="1"/>
    <col min="3" max="3" width="14" customWidth="1"/>
  </cols>
  <sheetData>
    <row r="1" spans="1:3" ht="24" customHeight="1" x14ac:dyDescent="0.4">
      <c r="A1" s="1" t="s">
        <v>58</v>
      </c>
      <c r="B1" s="2"/>
      <c r="C1" s="2"/>
    </row>
    <row r="2" spans="1:3" x14ac:dyDescent="0.35">
      <c r="A2" s="3" t="s">
        <v>59</v>
      </c>
    </row>
    <row r="4" spans="1:3" x14ac:dyDescent="0.35">
      <c r="A4" s="9" t="s">
        <v>60</v>
      </c>
      <c r="B4" s="10" t="s">
        <v>61</v>
      </c>
      <c r="C4" s="10" t="s">
        <v>62</v>
      </c>
    </row>
    <row r="5" spans="1:3" x14ac:dyDescent="0.35">
      <c r="A5" s="5" t="s">
        <v>63</v>
      </c>
      <c r="B5" s="5" t="s">
        <v>64</v>
      </c>
      <c r="C5" s="11">
        <v>-3.62</v>
      </c>
    </row>
    <row r="6" spans="1:3" x14ac:dyDescent="0.35">
      <c r="A6" s="5" t="s">
        <v>65</v>
      </c>
      <c r="B6" s="5" t="s">
        <v>66</v>
      </c>
      <c r="C6" s="11">
        <v>-4.5328650000000001</v>
      </c>
    </row>
    <row r="7" spans="1:3" x14ac:dyDescent="0.35">
      <c r="A7" s="5" t="s">
        <v>67</v>
      </c>
      <c r="B7" s="5" t="s">
        <v>68</v>
      </c>
      <c r="C7" s="11">
        <v>-7.3297491299999997</v>
      </c>
    </row>
    <row r="8" spans="1:3" x14ac:dyDescent="0.35">
      <c r="A8" s="5" t="s">
        <v>69</v>
      </c>
      <c r="B8" s="5" t="s">
        <v>70</v>
      </c>
      <c r="C8" s="11">
        <v>0.02</v>
      </c>
    </row>
    <row r="9" spans="1:3" x14ac:dyDescent="0.35">
      <c r="A9" s="5" t="s">
        <v>71</v>
      </c>
      <c r="B9" s="5" t="s">
        <v>72</v>
      </c>
      <c r="C9" s="11">
        <v>0.06</v>
      </c>
    </row>
    <row r="10" spans="1:3" x14ac:dyDescent="0.35">
      <c r="A10" s="5" t="s">
        <v>73</v>
      </c>
      <c r="B10" s="5" t="s">
        <v>74</v>
      </c>
      <c r="C10" s="11">
        <v>4.4549999999999999E-2</v>
      </c>
    </row>
    <row r="11" spans="1:3" x14ac:dyDescent="0.35">
      <c r="A11" s="5" t="s">
        <v>75</v>
      </c>
      <c r="B11" s="5" t="s">
        <v>76</v>
      </c>
      <c r="C11" s="11">
        <v>4.8000000000000001E-2</v>
      </c>
    </row>
    <row r="12" spans="1:3" x14ac:dyDescent="0.35">
      <c r="A12" s="5" t="s">
        <v>77</v>
      </c>
      <c r="B12" s="5" t="s">
        <v>78</v>
      </c>
      <c r="C12" s="11">
        <v>0.68450891999999997</v>
      </c>
    </row>
    <row r="13" spans="1:3" x14ac:dyDescent="0.35">
      <c r="A13" s="5" t="s">
        <v>79</v>
      </c>
      <c r="B13" s="5" t="s">
        <v>80</v>
      </c>
      <c r="C13" s="11">
        <v>1.85080435</v>
      </c>
    </row>
    <row r="14" spans="1:3" x14ac:dyDescent="0.35">
      <c r="A14" s="5" t="s">
        <v>81</v>
      </c>
      <c r="B14" s="5" t="s">
        <v>82</v>
      </c>
      <c r="C14" s="11">
        <v>26.198532700000001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7"/>
  <sheetViews>
    <sheetView workbookViewId="0"/>
  </sheetViews>
  <sheetFormatPr defaultRowHeight="14.5" x14ac:dyDescent="0.35"/>
  <cols>
    <col min="1" max="1" width="70" customWidth="1"/>
    <col min="2" max="2" width="13" customWidth="1"/>
    <col min="3" max="3" width="10" customWidth="1"/>
    <col min="4" max="6" width="12" customWidth="1"/>
    <col min="7" max="7" width="10" customWidth="1"/>
  </cols>
  <sheetData>
    <row r="1" spans="1:9" ht="24" customHeight="1" x14ac:dyDescent="0.4">
      <c r="A1" s="1" t="s">
        <v>83</v>
      </c>
      <c r="B1" s="2"/>
      <c r="C1" s="2"/>
      <c r="D1" s="2"/>
      <c r="E1" s="2"/>
      <c r="F1" s="2"/>
      <c r="G1" s="2"/>
      <c r="H1" s="2"/>
      <c r="I1" s="2"/>
    </row>
    <row r="2" spans="1:9" x14ac:dyDescent="0.35">
      <c r="A2" s="3" t="s">
        <v>84</v>
      </c>
    </row>
    <row r="5" spans="1:9" x14ac:dyDescent="0.35">
      <c r="A5" s="5" t="s">
        <v>85</v>
      </c>
      <c r="B5" s="12">
        <v>2</v>
      </c>
    </row>
    <row r="6" spans="1:9" x14ac:dyDescent="0.35">
      <c r="A6" s="5" t="s">
        <v>86</v>
      </c>
      <c r="B6" s="12" t="s">
        <v>87</v>
      </c>
    </row>
    <row r="8" spans="1:9" x14ac:dyDescent="0.35">
      <c r="A8" s="9" t="s">
        <v>88</v>
      </c>
      <c r="B8" s="10" t="s">
        <v>89</v>
      </c>
      <c r="C8" s="10" t="s">
        <v>90</v>
      </c>
      <c r="D8" s="10" t="s">
        <v>91</v>
      </c>
      <c r="E8" s="10" t="s">
        <v>92</v>
      </c>
      <c r="F8" s="10" t="s">
        <v>93</v>
      </c>
      <c r="G8" s="10" t="s">
        <v>94</v>
      </c>
      <c r="H8" s="10"/>
      <c r="I8" s="10"/>
    </row>
    <row r="9" spans="1:9" x14ac:dyDescent="0.35">
      <c r="A9" s="5" t="s">
        <v>95</v>
      </c>
      <c r="B9" s="5" t="s">
        <v>96</v>
      </c>
      <c r="C9" s="13">
        <v>3</v>
      </c>
      <c r="D9" s="11">
        <v>0</v>
      </c>
      <c r="E9" s="11">
        <v>0.35</v>
      </c>
      <c r="F9" s="11">
        <v>0</v>
      </c>
      <c r="G9" s="14">
        <f t="shared" ref="G9:G18" si="0">IF(C9&gt;=$B$5,1,0)</f>
        <v>1</v>
      </c>
    </row>
    <row r="10" spans="1:9" x14ac:dyDescent="0.35">
      <c r="A10" s="5" t="s">
        <v>97</v>
      </c>
      <c r="B10" s="5" t="s">
        <v>98</v>
      </c>
      <c r="C10" s="13">
        <v>3</v>
      </c>
      <c r="D10" s="11">
        <v>-0.72</v>
      </c>
      <c r="E10" s="11">
        <v>-0.72</v>
      </c>
      <c r="F10" s="11">
        <v>-0.54</v>
      </c>
      <c r="G10" s="14">
        <f t="shared" si="0"/>
        <v>1</v>
      </c>
    </row>
    <row r="11" spans="1:9" x14ac:dyDescent="0.35">
      <c r="A11" s="5" t="s">
        <v>99</v>
      </c>
      <c r="B11" s="5" t="s">
        <v>96</v>
      </c>
      <c r="C11" s="13">
        <v>3</v>
      </c>
      <c r="D11" s="11">
        <v>4.8000000000000001E-2</v>
      </c>
      <c r="E11" s="11">
        <v>4.8000000000000001E-2</v>
      </c>
      <c r="F11" s="11">
        <v>3.5999999999999997E-2</v>
      </c>
      <c r="G11" s="14">
        <f t="shared" si="0"/>
        <v>1</v>
      </c>
    </row>
    <row r="12" spans="1:9" x14ac:dyDescent="0.35">
      <c r="A12" s="5" t="s">
        <v>100</v>
      </c>
      <c r="B12" s="5" t="s">
        <v>98</v>
      </c>
      <c r="C12" s="13">
        <v>2</v>
      </c>
      <c r="D12" s="11">
        <v>0.1</v>
      </c>
      <c r="E12" s="11">
        <v>-0.1</v>
      </c>
      <c r="F12" s="11">
        <v>0</v>
      </c>
      <c r="G12" s="14">
        <f t="shared" si="0"/>
        <v>1</v>
      </c>
    </row>
    <row r="13" spans="1:9" x14ac:dyDescent="0.35">
      <c r="A13" s="5" t="s">
        <v>101</v>
      </c>
      <c r="B13" s="5" t="s">
        <v>96</v>
      </c>
      <c r="C13" s="13">
        <v>1</v>
      </c>
      <c r="D13" s="11">
        <v>0</v>
      </c>
      <c r="E13" s="11">
        <v>0.08</v>
      </c>
      <c r="F13" s="11">
        <v>0.1</v>
      </c>
      <c r="G13" s="14">
        <f t="shared" si="0"/>
        <v>0</v>
      </c>
    </row>
    <row r="14" spans="1:9" x14ac:dyDescent="0.35">
      <c r="A14" s="5" t="s">
        <v>102</v>
      </c>
      <c r="B14" s="5" t="s">
        <v>96</v>
      </c>
      <c r="C14" s="13">
        <v>1</v>
      </c>
      <c r="D14" s="11">
        <v>0.15</v>
      </c>
      <c r="E14" s="11">
        <v>0.06</v>
      </c>
      <c r="F14" s="11">
        <v>0</v>
      </c>
      <c r="G14" s="14">
        <f t="shared" si="0"/>
        <v>0</v>
      </c>
    </row>
    <row r="15" spans="1:9" x14ac:dyDescent="0.35">
      <c r="A15" s="5" t="s">
        <v>103</v>
      </c>
      <c r="B15" s="5" t="s">
        <v>96</v>
      </c>
      <c r="C15" s="13">
        <v>3</v>
      </c>
      <c r="D15" s="11">
        <v>0</v>
      </c>
      <c r="E15" s="11">
        <v>0.09</v>
      </c>
      <c r="F15" s="11">
        <v>0</v>
      </c>
      <c r="G15" s="14">
        <f t="shared" si="0"/>
        <v>1</v>
      </c>
    </row>
    <row r="16" spans="1:9" x14ac:dyDescent="0.35">
      <c r="A16" s="5" t="s">
        <v>104</v>
      </c>
      <c r="B16" s="5" t="s">
        <v>96</v>
      </c>
      <c r="C16" s="13">
        <v>1</v>
      </c>
      <c r="D16" s="11">
        <v>0</v>
      </c>
      <c r="E16" s="11">
        <v>0.12</v>
      </c>
      <c r="F16" s="11">
        <v>0.1</v>
      </c>
      <c r="G16" s="14">
        <f t="shared" si="0"/>
        <v>0</v>
      </c>
    </row>
    <row r="17" spans="1:7" x14ac:dyDescent="0.35">
      <c r="A17" s="5" t="s">
        <v>105</v>
      </c>
      <c r="B17" s="5" t="s">
        <v>96</v>
      </c>
      <c r="C17" s="13">
        <v>1</v>
      </c>
      <c r="D17" s="11">
        <v>0</v>
      </c>
      <c r="E17" s="11">
        <v>0</v>
      </c>
      <c r="F17" s="11">
        <v>1.8</v>
      </c>
      <c r="G17" s="14">
        <f t="shared" si="0"/>
        <v>0</v>
      </c>
    </row>
    <row r="18" spans="1:7" x14ac:dyDescent="0.35">
      <c r="A18" s="5" t="s">
        <v>106</v>
      </c>
      <c r="B18" s="5" t="s">
        <v>96</v>
      </c>
      <c r="C18" s="13">
        <v>3</v>
      </c>
      <c r="D18" s="11">
        <v>0</v>
      </c>
      <c r="E18" s="11">
        <v>0</v>
      </c>
      <c r="F18" s="11">
        <v>0.12</v>
      </c>
      <c r="G18" s="14">
        <f t="shared" si="0"/>
        <v>1</v>
      </c>
    </row>
    <row r="19" spans="1:7" x14ac:dyDescent="0.35">
      <c r="A19" s="5" t="s">
        <v>107</v>
      </c>
      <c r="B19" s="5" t="s">
        <v>96</v>
      </c>
      <c r="C19" s="13">
        <v>2</v>
      </c>
      <c r="D19" s="11">
        <v>0</v>
      </c>
      <c r="E19" s="11">
        <v>0</v>
      </c>
      <c r="F19" s="11">
        <v>0.22500000000000001</v>
      </c>
      <c r="G19" s="14">
        <f>IF($B$6="Add back",1,0)</f>
        <v>0</v>
      </c>
    </row>
    <row r="20" spans="1:7" x14ac:dyDescent="0.35">
      <c r="A20" s="5" t="s">
        <v>108</v>
      </c>
      <c r="B20" s="5" t="s">
        <v>98</v>
      </c>
      <c r="C20" s="13">
        <v>3</v>
      </c>
      <c r="D20" s="11">
        <v>0</v>
      </c>
      <c r="E20" s="11">
        <v>0</v>
      </c>
      <c r="F20" s="11">
        <v>-4.6800000000000001E-2</v>
      </c>
      <c r="G20" s="14">
        <f>IF(C20&gt;=$B$5,1,0)</f>
        <v>1</v>
      </c>
    </row>
    <row r="21" spans="1:7" x14ac:dyDescent="0.35">
      <c r="A21" s="5" t="s">
        <v>109</v>
      </c>
      <c r="B21" s="5" t="s">
        <v>98</v>
      </c>
      <c r="C21" s="13">
        <v>3</v>
      </c>
      <c r="D21" s="11">
        <v>0</v>
      </c>
      <c r="E21" s="11">
        <v>0</v>
      </c>
      <c r="F21" s="11">
        <v>-0.25</v>
      </c>
      <c r="G21" s="14">
        <f>IF(C21&gt;=$B$5,1,0)</f>
        <v>1</v>
      </c>
    </row>
    <row r="23" spans="1:7" x14ac:dyDescent="0.35">
      <c r="A23" s="9"/>
      <c r="B23" s="10"/>
      <c r="C23" s="10"/>
      <c r="D23" s="10" t="s">
        <v>91</v>
      </c>
      <c r="E23" s="10" t="s">
        <v>92</v>
      </c>
      <c r="F23" s="10" t="s">
        <v>93</v>
      </c>
    </row>
    <row r="24" spans="1:7" x14ac:dyDescent="0.35">
      <c r="A24" s="15" t="s">
        <v>110</v>
      </c>
      <c r="D24" s="16">
        <f>'01_Sources'!C5</f>
        <v>-3.62</v>
      </c>
      <c r="E24" s="16">
        <f>'01_Sources'!C6</f>
        <v>-4.5328650000000001</v>
      </c>
      <c r="F24" s="16">
        <f>'01_Sources'!C7</f>
        <v>-7.3297491299999997</v>
      </c>
    </row>
    <row r="25" spans="1:7" x14ac:dyDescent="0.35">
      <c r="A25" s="15" t="s">
        <v>111</v>
      </c>
      <c r="D25" s="17">
        <f>D24+SUMIF($B$9:$B$21,"management",D9:D21)</f>
        <v>-3.4220000000000002</v>
      </c>
      <c r="E25" s="17">
        <f>E24+SUMIF($B$9:$B$21,"management",E9:E21)</f>
        <v>-3.7848649999999999</v>
      </c>
      <c r="F25" s="17">
        <f>F24+SUMIF($B$9:$B$21,"management",F9:F21)</f>
        <v>-4.9487491299999995</v>
      </c>
    </row>
    <row r="26" spans="1:7" x14ac:dyDescent="0.35">
      <c r="A26" s="15" t="s">
        <v>112</v>
      </c>
      <c r="D26" s="17">
        <f>D24+SUMPRODUCT($G$9:$G$21,D9:D21)</f>
        <v>-4.1920000000000002</v>
      </c>
      <c r="E26" s="17">
        <f>E24+SUMPRODUCT($G$9:$G$21,E9:E21)</f>
        <v>-4.864865</v>
      </c>
      <c r="F26" s="17">
        <f>F24+SUMPRODUCT($G$9:$G$21,F9:F21)</f>
        <v>-8.0105491299999994</v>
      </c>
    </row>
    <row r="27" spans="1:7" x14ac:dyDescent="0.35">
      <c r="A27" s="5" t="s">
        <v>113</v>
      </c>
      <c r="D27" s="18">
        <f>D25-D26</f>
        <v>0.77</v>
      </c>
      <c r="E27" s="18">
        <f>E25-E26</f>
        <v>1.08</v>
      </c>
      <c r="F27" s="18">
        <f>F25-F26</f>
        <v>3.0617999999999999</v>
      </c>
    </row>
  </sheetData>
  <dataValidations count="2">
    <dataValidation type="list" sqref="B5" xr:uid="{00000000-0002-0000-0200-000000000000}">
      <formula1>"1,2,3"</formula1>
    </dataValidation>
    <dataValidation type="list" sqref="B6" xr:uid="{00000000-0002-0000-0200-000001000000}">
      <formula1>"Cost,Add back"</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RowHeight="14.5" x14ac:dyDescent="0.35"/>
  <cols>
    <col min="1" max="1" width="56" customWidth="1"/>
    <col min="2" max="2" width="14" customWidth="1"/>
    <col min="3" max="6" width="12" customWidth="1"/>
  </cols>
  <sheetData>
    <row r="1" spans="1:7" ht="24" customHeight="1" x14ac:dyDescent="0.4">
      <c r="A1" s="1" t="s">
        <v>114</v>
      </c>
      <c r="B1" s="2"/>
      <c r="C1" s="2"/>
      <c r="D1" s="2"/>
      <c r="E1" s="2"/>
      <c r="F1" s="2"/>
      <c r="G1" s="2"/>
    </row>
    <row r="2" spans="1:7" x14ac:dyDescent="0.35">
      <c r="A2" s="3" t="s">
        <v>115</v>
      </c>
    </row>
    <row r="4" spans="1:7" x14ac:dyDescent="0.35">
      <c r="A4" s="5" t="s">
        <v>116</v>
      </c>
      <c r="B4" s="13">
        <v>2</v>
      </c>
    </row>
    <row r="5" spans="1:7" x14ac:dyDescent="0.35">
      <c r="A5" s="5" t="s">
        <v>117</v>
      </c>
      <c r="B5" s="19">
        <v>30</v>
      </c>
    </row>
    <row r="6" spans="1:7" x14ac:dyDescent="0.35">
      <c r="A6" s="5" t="s">
        <v>118</v>
      </c>
      <c r="B6" s="20">
        <v>66</v>
      </c>
    </row>
    <row r="7" spans="1:7" x14ac:dyDescent="0.35">
      <c r="A7" s="5" t="s">
        <v>119</v>
      </c>
      <c r="B7" s="13">
        <v>40000</v>
      </c>
    </row>
    <row r="8" spans="1:7" x14ac:dyDescent="0.35">
      <c r="A8" s="5" t="s">
        <v>120</v>
      </c>
      <c r="B8" s="19">
        <v>5</v>
      </c>
    </row>
    <row r="9" spans="1:7" x14ac:dyDescent="0.35">
      <c r="A9" s="5" t="s">
        <v>121</v>
      </c>
      <c r="B9" s="20">
        <v>4</v>
      </c>
    </row>
    <row r="10" spans="1:7" x14ac:dyDescent="0.35">
      <c r="A10" s="5" t="s">
        <v>122</v>
      </c>
      <c r="B10" s="18">
        <f>60*10000*0.13/10000000</f>
        <v>7.7999999999999996E-3</v>
      </c>
    </row>
    <row r="11" spans="1:7" x14ac:dyDescent="0.35">
      <c r="A11" s="5" t="s">
        <v>123</v>
      </c>
      <c r="B11" s="21">
        <v>6</v>
      </c>
    </row>
    <row r="12" spans="1:7" x14ac:dyDescent="0.35">
      <c r="A12" s="5" t="s">
        <v>124</v>
      </c>
      <c r="B12" s="11">
        <v>0.22500000000000001</v>
      </c>
    </row>
    <row r="13" spans="1:7" x14ac:dyDescent="0.35">
      <c r="A13" s="5" t="s">
        <v>86</v>
      </c>
      <c r="B13" s="12" t="s">
        <v>87</v>
      </c>
    </row>
    <row r="15" spans="1:7" x14ac:dyDescent="0.35">
      <c r="A15" s="4" t="s">
        <v>125</v>
      </c>
    </row>
    <row r="16" spans="1:7" x14ac:dyDescent="0.35">
      <c r="A16" s="5" t="s">
        <v>110</v>
      </c>
      <c r="B16" s="16">
        <f>'02_EBITDA_Bridge'!F24</f>
        <v>-7.3297491299999997</v>
      </c>
    </row>
    <row r="17" spans="1:6" x14ac:dyDescent="0.35">
      <c r="A17" s="5" t="s">
        <v>126</v>
      </c>
      <c r="B17" s="18">
        <f>-B4*(B6-B5)/100*9/12</f>
        <v>-0.53999999999999992</v>
      </c>
    </row>
    <row r="18" spans="1:6" x14ac:dyDescent="0.35">
      <c r="A18" s="5" t="s">
        <v>127</v>
      </c>
      <c r="B18" s="18">
        <f>B7*(B8-B9)*9/10000000</f>
        <v>3.5999999999999997E-2</v>
      </c>
    </row>
    <row r="19" spans="1:6" x14ac:dyDescent="0.35">
      <c r="A19" s="5" t="s">
        <v>128</v>
      </c>
      <c r="B19" s="18">
        <f>IF(B13="Add back",B12,0)</f>
        <v>0</v>
      </c>
    </row>
    <row r="20" spans="1:6" x14ac:dyDescent="0.35">
      <c r="A20" s="5" t="s">
        <v>129</v>
      </c>
      <c r="B20" s="18">
        <f>-B10*B11</f>
        <v>-4.6799999999999994E-2</v>
      </c>
    </row>
    <row r="21" spans="1:6" x14ac:dyDescent="0.35">
      <c r="A21" s="5" t="s">
        <v>130</v>
      </c>
      <c r="B21" s="16">
        <f>'02_EBITDA_Bridge'!F18+'02_EBITDA_Bridge'!F21</f>
        <v>-0.13</v>
      </c>
    </row>
    <row r="22" spans="1:6" x14ac:dyDescent="0.35">
      <c r="A22" s="15" t="s">
        <v>131</v>
      </c>
      <c r="B22" s="17">
        <f>SUM(B16:B21)</f>
        <v>-8.0105491300000011</v>
      </c>
    </row>
    <row r="24" spans="1:6" x14ac:dyDescent="0.35">
      <c r="A24" s="4" t="s">
        <v>132</v>
      </c>
    </row>
    <row r="25" spans="1:6" x14ac:dyDescent="0.35">
      <c r="B25" s="19">
        <v>3</v>
      </c>
      <c r="C25" s="19">
        <v>3.5</v>
      </c>
      <c r="D25" s="19">
        <v>4</v>
      </c>
      <c r="E25" s="19">
        <v>4.5</v>
      </c>
      <c r="F25" s="19">
        <v>5</v>
      </c>
    </row>
    <row r="26" spans="1:6" x14ac:dyDescent="0.35">
      <c r="A26" s="19">
        <v>50</v>
      </c>
      <c r="B26" s="22">
        <f>$B$16-B4*($A26-B5)/100*9/12+B7*(B8-B$25)*9/10000000+$B$19+$B$20+$B$21</f>
        <v>-7.7345491299999996</v>
      </c>
      <c r="C26" s="22">
        <f>$B$16-B4*($A26-B5)/100*9/12+B7*(B8-C$25)*9/10000000+$B$19+$B$20+$B$21</f>
        <v>-7.7525491299999993</v>
      </c>
      <c r="D26" s="22">
        <f>$B$16-B4*($A26-B5)/100*9/12+B7*(B8-D$25)*9/10000000+$B$19+$B$20+$B$21</f>
        <v>-7.77054913</v>
      </c>
      <c r="E26" s="22">
        <f>$B$16-B4*($A26-B5)/100*9/12+B7*(B8-E$25)*9/10000000+$B$19+$B$20+$B$21</f>
        <v>-7.7885491299999998</v>
      </c>
      <c r="F26" s="22">
        <f>$B$16-B4*($A26-B5)/100*9/12+B7*(B8-F$25)*9/10000000+$B$19+$B$20+$B$21</f>
        <v>-7.8065491299999996</v>
      </c>
    </row>
    <row r="27" spans="1:6" x14ac:dyDescent="0.35">
      <c r="A27" s="19">
        <v>58</v>
      </c>
      <c r="B27" s="22">
        <f>$B$16-B4*($A27-B5)/100*9/12+B7*(B8-B$25)*9/10000000+$B$19+$B$20+$B$21</f>
        <v>-7.8545491299999997</v>
      </c>
      <c r="C27" s="22">
        <f>$B$16-B4*($A27-B5)/100*9/12+B7*(B8-C$25)*9/10000000+$B$19+$B$20+$B$21</f>
        <v>-7.8725491299999995</v>
      </c>
      <c r="D27" s="22">
        <f>$B$16-B4*($A27-B5)/100*9/12+B7*(B8-D$25)*9/10000000+$B$19+$B$20+$B$21</f>
        <v>-7.8905491300000001</v>
      </c>
      <c r="E27" s="22">
        <f>$B$16-B4*($A27-B5)/100*9/12+B7*(B8-E$25)*9/10000000+$B$19+$B$20+$B$21</f>
        <v>-7.9085491299999999</v>
      </c>
      <c r="F27" s="22">
        <f>$B$16-B4*($A27-B5)/100*9/12+B7*(B8-F$25)*9/10000000+$B$19+$B$20+$B$21</f>
        <v>-7.9265491299999997</v>
      </c>
    </row>
    <row r="28" spans="1:6" x14ac:dyDescent="0.35">
      <c r="A28" s="19">
        <v>66</v>
      </c>
      <c r="B28" s="22">
        <f>$B$16-B4*($A28-B5)/100*9/12+B7*(B8-B$25)*9/10000000+$B$19+$B$20+$B$21</f>
        <v>-7.9745491299999998</v>
      </c>
      <c r="C28" s="22">
        <f>$B$16-B4*($A28-B5)/100*9/12+B7*(B8-C$25)*9/10000000+$B$19+$B$20+$B$21</f>
        <v>-7.9925491299999996</v>
      </c>
      <c r="D28" s="22">
        <f>$B$16-B4*($A28-B5)/100*9/12+B7*(B8-D$25)*9/10000000+$B$19+$B$20+$B$21</f>
        <v>-8.0105491300000011</v>
      </c>
      <c r="E28" s="22">
        <f>$B$16-B4*($A28-B5)/100*9/12+B7*(B8-E$25)*9/10000000+$B$19+$B$20+$B$21</f>
        <v>-8.02854913</v>
      </c>
      <c r="F28" s="22">
        <f>$B$16-B4*($A28-B5)/100*9/12+B7*(B8-F$25)*9/10000000+$B$19+$B$20+$B$21</f>
        <v>-8.0465491300000007</v>
      </c>
    </row>
    <row r="29" spans="1:6" x14ac:dyDescent="0.35">
      <c r="A29" s="19">
        <v>74</v>
      </c>
      <c r="B29" s="22">
        <f>$B$16-B4*($A29-B5)/100*9/12+B7*(B8-B$25)*9/10000000+$B$19+$B$20+$B$21</f>
        <v>-8.0945491300000008</v>
      </c>
      <c r="C29" s="22">
        <f>$B$16-B4*($A29-B5)/100*9/12+B7*(B8-C$25)*9/10000000+$B$19+$B$20+$B$21</f>
        <v>-8.1125491299999997</v>
      </c>
      <c r="D29" s="22">
        <f>$B$16-B4*($A29-B5)/100*9/12+B7*(B8-D$25)*9/10000000+$B$19+$B$20+$B$21</f>
        <v>-8.1305491300000003</v>
      </c>
      <c r="E29" s="22">
        <f>$B$16-B4*($A29-B5)/100*9/12+B7*(B8-E$25)*9/10000000+$B$19+$B$20+$B$21</f>
        <v>-8.148549130000001</v>
      </c>
      <c r="F29" s="22">
        <f>$B$16-B4*($A29-B5)/100*9/12+B7*(B8-F$25)*9/10000000+$B$19+$B$20+$B$21</f>
        <v>-8.1665491299999999</v>
      </c>
    </row>
    <row r="30" spans="1:6" x14ac:dyDescent="0.35">
      <c r="A30" s="19">
        <v>82</v>
      </c>
      <c r="B30" s="22">
        <f>$B$16-B4*($A30-B5)/100*9/12+B7*(B8-B$25)*9/10000000+$B$19+$B$20+$B$21</f>
        <v>-8.21454913</v>
      </c>
      <c r="C30" s="22">
        <f>$B$16-B4*($A30-B5)/100*9/12+B7*(B8-C$25)*9/10000000+$B$19+$B$20+$B$21</f>
        <v>-8.2325491299999989</v>
      </c>
      <c r="D30" s="22">
        <f>$B$16-B4*($A30-B5)/100*9/12+B7*(B8-D$25)*9/10000000+$B$19+$B$20+$B$21</f>
        <v>-8.2505491299999996</v>
      </c>
      <c r="E30" s="22">
        <f>$B$16-B4*($A30-B5)/100*9/12+B7*(B8-E$25)*9/10000000+$B$19+$B$20+$B$21</f>
        <v>-8.2685491299999985</v>
      </c>
      <c r="F30" s="22">
        <f>$B$16-B4*($A30-B5)/100*9/12+B7*(B8-F$25)*9/10000000+$B$19+$B$20+$B$21</f>
        <v>-8.2865491299999992</v>
      </c>
    </row>
  </sheetData>
  <dataValidations count="1">
    <dataValidation type="list" sqref="B13" xr:uid="{00000000-0002-0000-0300-000000000000}">
      <formula1>"Cost,Add back"</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8"/>
  <sheetViews>
    <sheetView workbookViewId="0"/>
  </sheetViews>
  <sheetFormatPr defaultRowHeight="14.5" x14ac:dyDescent="0.35"/>
  <cols>
    <col min="1" max="1" width="44" customWidth="1"/>
    <col min="2" max="16" width="11" customWidth="1"/>
  </cols>
  <sheetData>
    <row r="1" spans="1:16" ht="24" customHeight="1" x14ac:dyDescent="0.4">
      <c r="A1" s="1" t="s">
        <v>133</v>
      </c>
      <c r="B1" s="2"/>
      <c r="C1" s="2"/>
      <c r="D1" s="2"/>
      <c r="E1" s="2"/>
      <c r="F1" s="2"/>
      <c r="G1" s="2"/>
      <c r="H1" s="2"/>
      <c r="I1" s="2"/>
      <c r="J1" s="2"/>
      <c r="K1" s="2"/>
      <c r="L1" s="2"/>
      <c r="M1" s="2"/>
      <c r="N1" s="2"/>
      <c r="O1" s="2"/>
      <c r="P1" s="2"/>
    </row>
    <row r="2" spans="1:16" x14ac:dyDescent="0.35">
      <c r="A2" s="3" t="s">
        <v>134</v>
      </c>
    </row>
    <row r="4" spans="1:16" x14ac:dyDescent="0.35">
      <c r="A4" s="5" t="s">
        <v>135</v>
      </c>
      <c r="B4" s="12" t="s">
        <v>136</v>
      </c>
    </row>
    <row r="5" spans="1:16" x14ac:dyDescent="0.35">
      <c r="A5" s="5" t="s">
        <v>137</v>
      </c>
      <c r="B5" s="12" t="s">
        <v>136</v>
      </c>
    </row>
    <row r="6" spans="1:16" x14ac:dyDescent="0.35">
      <c r="A6" s="5" t="s">
        <v>138</v>
      </c>
      <c r="B6" s="12" t="s">
        <v>139</v>
      </c>
    </row>
    <row r="7" spans="1:16" x14ac:dyDescent="0.35">
      <c r="A7" s="5" t="s">
        <v>140</v>
      </c>
      <c r="B7" s="19">
        <v>0.25</v>
      </c>
    </row>
    <row r="9" spans="1:16" ht="39" x14ac:dyDescent="0.35">
      <c r="A9" s="9" t="s">
        <v>141</v>
      </c>
      <c r="B9" s="10" t="s">
        <v>142</v>
      </c>
      <c r="C9" s="10" t="s">
        <v>143</v>
      </c>
      <c r="D9" s="10" t="s">
        <v>144</v>
      </c>
      <c r="E9" s="10" t="s">
        <v>145</v>
      </c>
      <c r="F9" s="10" t="s">
        <v>146</v>
      </c>
      <c r="G9" s="10" t="s">
        <v>147</v>
      </c>
      <c r="H9" s="10" t="s">
        <v>148</v>
      </c>
      <c r="I9" s="10" t="s">
        <v>149</v>
      </c>
      <c r="J9" s="10" t="s">
        <v>150</v>
      </c>
      <c r="K9" s="10" t="s">
        <v>151</v>
      </c>
      <c r="L9" s="10" t="s">
        <v>152</v>
      </c>
      <c r="M9" s="10" t="s">
        <v>153</v>
      </c>
      <c r="N9" s="10" t="s">
        <v>154</v>
      </c>
      <c r="O9" s="10" t="s">
        <v>155</v>
      </c>
      <c r="P9" s="10" t="s">
        <v>156</v>
      </c>
    </row>
    <row r="10" spans="1:16" x14ac:dyDescent="0.35">
      <c r="A10" s="5" t="s">
        <v>157</v>
      </c>
      <c r="B10" s="19">
        <v>2.4</v>
      </c>
      <c r="C10" s="19">
        <v>0.78</v>
      </c>
      <c r="D10" s="19">
        <v>2.7</v>
      </c>
      <c r="E10" s="19">
        <v>0</v>
      </c>
      <c r="F10" s="19">
        <v>0.15</v>
      </c>
      <c r="G10" s="19">
        <v>0.18</v>
      </c>
      <c r="H10" s="19">
        <v>0.24</v>
      </c>
      <c r="I10" s="19">
        <v>0.32</v>
      </c>
      <c r="J10" s="19">
        <v>0.1</v>
      </c>
      <c r="K10" s="19">
        <v>0</v>
      </c>
      <c r="L10" s="19">
        <v>0.13</v>
      </c>
      <c r="M10" s="22">
        <f t="shared" ref="M10:M26" si="0">IF(AND($B$6="Yes",0=1),$B$7,0)</f>
        <v>0</v>
      </c>
      <c r="N10" s="22">
        <f t="shared" ref="N10:N30" si="1">B10-M10+C10-(D10-E10)</f>
        <v>0.47999999999999954</v>
      </c>
      <c r="O10" s="22">
        <f t="shared" ref="O10:O30" si="2">F10-G10-H10</f>
        <v>-0.27</v>
      </c>
      <c r="P10" s="23">
        <f t="shared" ref="P10:P30" si="3">N10+O10+IF($B$4="Yes",I10-J10,0)-IF($B$5="Yes",E10+K10+L10,0)</f>
        <v>0.20999999999999952</v>
      </c>
    </row>
    <row r="11" spans="1:16" x14ac:dyDescent="0.35">
      <c r="A11" s="5" t="s">
        <v>158</v>
      </c>
      <c r="B11" s="19">
        <v>2.95</v>
      </c>
      <c r="C11" s="19">
        <v>0.82</v>
      </c>
      <c r="D11" s="19">
        <v>2.95</v>
      </c>
      <c r="E11" s="19">
        <v>0</v>
      </c>
      <c r="F11" s="19">
        <v>0.25</v>
      </c>
      <c r="G11" s="19">
        <v>0.19</v>
      </c>
      <c r="H11" s="19">
        <v>0.24</v>
      </c>
      <c r="I11" s="19">
        <v>0.36</v>
      </c>
      <c r="J11" s="19">
        <v>0.11</v>
      </c>
      <c r="K11" s="19">
        <v>0</v>
      </c>
      <c r="L11" s="19">
        <v>0.13</v>
      </c>
      <c r="M11" s="22">
        <f t="shared" si="0"/>
        <v>0</v>
      </c>
      <c r="N11" s="22">
        <f t="shared" si="1"/>
        <v>0.81999999999999984</v>
      </c>
      <c r="O11" s="22">
        <f t="shared" si="2"/>
        <v>-0.18</v>
      </c>
      <c r="P11" s="23">
        <f t="shared" si="3"/>
        <v>0.6399999999999999</v>
      </c>
    </row>
    <row r="12" spans="1:16" x14ac:dyDescent="0.35">
      <c r="A12" s="5" t="s">
        <v>159</v>
      </c>
      <c r="B12" s="19">
        <v>3.2</v>
      </c>
      <c r="C12" s="19">
        <v>0.86</v>
      </c>
      <c r="D12" s="19">
        <v>3</v>
      </c>
      <c r="E12" s="19">
        <v>0</v>
      </c>
      <c r="F12" s="19">
        <v>0.3</v>
      </c>
      <c r="G12" s="19">
        <v>0.2</v>
      </c>
      <c r="H12" s="19">
        <v>0.25</v>
      </c>
      <c r="I12" s="19">
        <v>0.4</v>
      </c>
      <c r="J12" s="19">
        <v>0.12</v>
      </c>
      <c r="K12" s="19">
        <v>0</v>
      </c>
      <c r="L12" s="19">
        <v>0.14000000000000001</v>
      </c>
      <c r="M12" s="22">
        <f t="shared" si="0"/>
        <v>0</v>
      </c>
      <c r="N12" s="22">
        <f t="shared" si="1"/>
        <v>1.0600000000000005</v>
      </c>
      <c r="O12" s="22">
        <f t="shared" si="2"/>
        <v>-0.15000000000000002</v>
      </c>
      <c r="P12" s="23">
        <f t="shared" si="3"/>
        <v>0.91000000000000048</v>
      </c>
    </row>
    <row r="13" spans="1:16" x14ac:dyDescent="0.35">
      <c r="A13" s="5" t="s">
        <v>160</v>
      </c>
      <c r="B13" s="19">
        <v>3.55</v>
      </c>
      <c r="C13" s="19">
        <v>0.9</v>
      </c>
      <c r="D13" s="19">
        <v>3.1</v>
      </c>
      <c r="E13" s="19">
        <v>0</v>
      </c>
      <c r="F13" s="19">
        <v>0.35</v>
      </c>
      <c r="G13" s="19">
        <v>0.2</v>
      </c>
      <c r="H13" s="19">
        <v>0.25</v>
      </c>
      <c r="I13" s="19">
        <v>0.44</v>
      </c>
      <c r="J13" s="19">
        <v>0.12</v>
      </c>
      <c r="K13" s="19">
        <v>0</v>
      </c>
      <c r="L13" s="19">
        <v>0.14000000000000001</v>
      </c>
      <c r="M13" s="22">
        <f t="shared" si="0"/>
        <v>0</v>
      </c>
      <c r="N13" s="22">
        <f t="shared" si="1"/>
        <v>1.35</v>
      </c>
      <c r="O13" s="22">
        <f t="shared" si="2"/>
        <v>-0.10000000000000003</v>
      </c>
      <c r="P13" s="23">
        <f t="shared" si="3"/>
        <v>1.25</v>
      </c>
    </row>
    <row r="14" spans="1:16" x14ac:dyDescent="0.35">
      <c r="A14" s="5" t="s">
        <v>161</v>
      </c>
      <c r="B14" s="19">
        <v>4.0999999999999996</v>
      </c>
      <c r="C14" s="19">
        <v>0.96</v>
      </c>
      <c r="D14" s="19">
        <v>3.55</v>
      </c>
      <c r="E14" s="19">
        <v>0</v>
      </c>
      <c r="F14" s="19">
        <v>0.45</v>
      </c>
      <c r="G14" s="19">
        <v>0.21</v>
      </c>
      <c r="H14" s="19">
        <v>0.26</v>
      </c>
      <c r="I14" s="19">
        <v>0.5</v>
      </c>
      <c r="J14" s="19">
        <v>0.13</v>
      </c>
      <c r="K14" s="19">
        <v>0</v>
      </c>
      <c r="L14" s="19">
        <v>0.15</v>
      </c>
      <c r="M14" s="22">
        <f t="shared" si="0"/>
        <v>0</v>
      </c>
      <c r="N14" s="22">
        <f t="shared" si="1"/>
        <v>1.5099999999999998</v>
      </c>
      <c r="O14" s="22">
        <f t="shared" si="2"/>
        <v>-1.999999999999999E-2</v>
      </c>
      <c r="P14" s="23">
        <f t="shared" si="3"/>
        <v>1.4899999999999998</v>
      </c>
    </row>
    <row r="15" spans="1:16" x14ac:dyDescent="0.35">
      <c r="A15" s="5" t="s">
        <v>162</v>
      </c>
      <c r="B15" s="19">
        <v>4.5999999999999996</v>
      </c>
      <c r="C15" s="19">
        <v>1.08</v>
      </c>
      <c r="D15" s="19">
        <v>3.85</v>
      </c>
      <c r="E15" s="19">
        <v>0</v>
      </c>
      <c r="F15" s="19">
        <v>0.5</v>
      </c>
      <c r="G15" s="19">
        <v>0.23</v>
      </c>
      <c r="H15" s="19">
        <v>0.27</v>
      </c>
      <c r="I15" s="19">
        <v>0.57999999999999996</v>
      </c>
      <c r="J15" s="19">
        <v>0.15</v>
      </c>
      <c r="K15" s="19">
        <v>0</v>
      </c>
      <c r="L15" s="19">
        <v>0.15</v>
      </c>
      <c r="M15" s="22">
        <f t="shared" si="0"/>
        <v>0</v>
      </c>
      <c r="N15" s="22">
        <f t="shared" si="1"/>
        <v>1.8299999999999996</v>
      </c>
      <c r="O15" s="22">
        <f t="shared" si="2"/>
        <v>0</v>
      </c>
      <c r="P15" s="23">
        <f t="shared" si="3"/>
        <v>1.8299999999999996</v>
      </c>
    </row>
    <row r="16" spans="1:16" x14ac:dyDescent="0.35">
      <c r="A16" s="5" t="s">
        <v>163</v>
      </c>
      <c r="B16" s="19">
        <v>4.3499999999999996</v>
      </c>
      <c r="C16" s="19">
        <v>1.32</v>
      </c>
      <c r="D16" s="19">
        <v>3.5</v>
      </c>
      <c r="E16" s="19">
        <v>0</v>
      </c>
      <c r="F16" s="19">
        <v>0.4</v>
      </c>
      <c r="G16" s="19">
        <v>0.26</v>
      </c>
      <c r="H16" s="19">
        <v>0.28000000000000003</v>
      </c>
      <c r="I16" s="19">
        <v>0.66</v>
      </c>
      <c r="J16" s="19">
        <v>0.19</v>
      </c>
      <c r="K16" s="19">
        <v>0</v>
      </c>
      <c r="L16" s="19">
        <v>0.16</v>
      </c>
      <c r="M16" s="22">
        <f t="shared" si="0"/>
        <v>0</v>
      </c>
      <c r="N16" s="22">
        <f t="shared" si="1"/>
        <v>2.17</v>
      </c>
      <c r="O16" s="22">
        <f t="shared" si="2"/>
        <v>-0.14000000000000001</v>
      </c>
      <c r="P16" s="23">
        <f t="shared" si="3"/>
        <v>2.0299999999999998</v>
      </c>
    </row>
    <row r="17" spans="1:16" x14ac:dyDescent="0.35">
      <c r="A17" s="5" t="s">
        <v>164</v>
      </c>
      <c r="B17" s="19">
        <v>3.4</v>
      </c>
      <c r="C17" s="19">
        <v>1.72</v>
      </c>
      <c r="D17" s="19">
        <v>2.8</v>
      </c>
      <c r="E17" s="19">
        <v>0</v>
      </c>
      <c r="F17" s="19">
        <v>0.3</v>
      </c>
      <c r="G17" s="19">
        <v>0.28999999999999998</v>
      </c>
      <c r="H17" s="19">
        <v>0.3</v>
      </c>
      <c r="I17" s="19">
        <v>0.74</v>
      </c>
      <c r="J17" s="19">
        <v>0.24</v>
      </c>
      <c r="K17" s="19">
        <v>0</v>
      </c>
      <c r="L17" s="19">
        <v>0.17</v>
      </c>
      <c r="M17" s="22">
        <f t="shared" si="0"/>
        <v>0</v>
      </c>
      <c r="N17" s="22">
        <f t="shared" si="1"/>
        <v>2.3200000000000003</v>
      </c>
      <c r="O17" s="22">
        <f t="shared" si="2"/>
        <v>-0.28999999999999998</v>
      </c>
      <c r="P17" s="23">
        <f t="shared" si="3"/>
        <v>2.0300000000000002</v>
      </c>
    </row>
    <row r="18" spans="1:16" x14ac:dyDescent="0.35">
      <c r="A18" s="5" t="s">
        <v>165</v>
      </c>
      <c r="B18" s="19">
        <v>3.45</v>
      </c>
      <c r="C18" s="19">
        <v>1.22</v>
      </c>
      <c r="D18" s="19">
        <v>2.75</v>
      </c>
      <c r="E18" s="19">
        <v>0</v>
      </c>
      <c r="F18" s="19">
        <v>0.35</v>
      </c>
      <c r="G18" s="19">
        <v>0.24</v>
      </c>
      <c r="H18" s="19">
        <v>0.3</v>
      </c>
      <c r="I18" s="19">
        <v>0.7</v>
      </c>
      <c r="J18" s="19">
        <v>0.17</v>
      </c>
      <c r="K18" s="19">
        <v>0</v>
      </c>
      <c r="L18" s="19">
        <v>0.17</v>
      </c>
      <c r="M18" s="22">
        <f t="shared" si="0"/>
        <v>0</v>
      </c>
      <c r="N18" s="22">
        <f t="shared" si="1"/>
        <v>1.92</v>
      </c>
      <c r="O18" s="22">
        <f t="shared" si="2"/>
        <v>-0.19</v>
      </c>
      <c r="P18" s="23">
        <f t="shared" si="3"/>
        <v>1.73</v>
      </c>
    </row>
    <row r="19" spans="1:16" x14ac:dyDescent="0.35">
      <c r="A19" s="5" t="s">
        <v>166</v>
      </c>
      <c r="B19" s="19">
        <v>3.8</v>
      </c>
      <c r="C19" s="19">
        <v>1.28</v>
      </c>
      <c r="D19" s="19">
        <v>2.85</v>
      </c>
      <c r="E19" s="19">
        <v>0</v>
      </c>
      <c r="F19" s="19">
        <v>0.45</v>
      </c>
      <c r="G19" s="19">
        <v>0.23</v>
      </c>
      <c r="H19" s="19">
        <v>0.28999999999999998</v>
      </c>
      <c r="I19" s="19">
        <v>0.74</v>
      </c>
      <c r="J19" s="19">
        <v>0.16</v>
      </c>
      <c r="K19" s="19">
        <v>0</v>
      </c>
      <c r="L19" s="19">
        <v>0.18</v>
      </c>
      <c r="M19" s="22">
        <f t="shared" si="0"/>
        <v>0</v>
      </c>
      <c r="N19" s="22">
        <f t="shared" si="1"/>
        <v>2.23</v>
      </c>
      <c r="O19" s="22">
        <f t="shared" si="2"/>
        <v>-6.9999999999999979E-2</v>
      </c>
      <c r="P19" s="23">
        <f t="shared" si="3"/>
        <v>2.16</v>
      </c>
    </row>
    <row r="20" spans="1:16" x14ac:dyDescent="0.35">
      <c r="A20" s="5" t="s">
        <v>167</v>
      </c>
      <c r="B20" s="19">
        <v>4.1500000000000004</v>
      </c>
      <c r="C20" s="19">
        <v>1.34</v>
      </c>
      <c r="D20" s="19">
        <v>2.9</v>
      </c>
      <c r="E20" s="19">
        <v>0</v>
      </c>
      <c r="F20" s="19">
        <v>0.55000000000000004</v>
      </c>
      <c r="G20" s="19">
        <v>0.24</v>
      </c>
      <c r="H20" s="19">
        <v>0.28999999999999998</v>
      </c>
      <c r="I20" s="19">
        <v>0.8</v>
      </c>
      <c r="J20" s="19">
        <v>0.16</v>
      </c>
      <c r="K20" s="19">
        <v>0</v>
      </c>
      <c r="L20" s="19">
        <v>0.19</v>
      </c>
      <c r="M20" s="22">
        <f t="shared" si="0"/>
        <v>0</v>
      </c>
      <c r="N20" s="22">
        <f t="shared" si="1"/>
        <v>2.5900000000000003</v>
      </c>
      <c r="O20" s="22">
        <f t="shared" si="2"/>
        <v>2.0000000000000073E-2</v>
      </c>
      <c r="P20" s="23">
        <f t="shared" si="3"/>
        <v>2.6100000000000003</v>
      </c>
    </row>
    <row r="21" spans="1:16" x14ac:dyDescent="0.35">
      <c r="A21" s="5" t="s">
        <v>168</v>
      </c>
      <c r="B21" s="19">
        <v>4.5</v>
      </c>
      <c r="C21" s="19">
        <v>1.5</v>
      </c>
      <c r="D21" s="19">
        <v>3</v>
      </c>
      <c r="E21" s="19">
        <v>0.2</v>
      </c>
      <c r="F21" s="19">
        <v>0.6</v>
      </c>
      <c r="G21" s="19">
        <v>0.25</v>
      </c>
      <c r="H21" s="19">
        <v>0.3</v>
      </c>
      <c r="I21" s="19">
        <v>0.85</v>
      </c>
      <c r="J21" s="19">
        <v>0.2</v>
      </c>
      <c r="K21" s="19">
        <v>0</v>
      </c>
      <c r="L21" s="19">
        <v>0.2</v>
      </c>
      <c r="M21" s="22">
        <f t="shared" si="0"/>
        <v>0</v>
      </c>
      <c r="N21" s="22">
        <f t="shared" si="1"/>
        <v>3.2</v>
      </c>
      <c r="O21" s="22">
        <f t="shared" si="2"/>
        <v>4.9999999999999989E-2</v>
      </c>
      <c r="P21" s="23">
        <f t="shared" si="3"/>
        <v>3.25</v>
      </c>
    </row>
    <row r="22" spans="1:16" x14ac:dyDescent="0.35">
      <c r="A22" s="5" t="s">
        <v>169</v>
      </c>
      <c r="B22" s="19">
        <v>5.4118888900000002</v>
      </c>
      <c r="C22" s="19">
        <v>1.3746182</v>
      </c>
      <c r="D22" s="19">
        <v>3.9619937699999999</v>
      </c>
      <c r="E22" s="19">
        <v>0</v>
      </c>
      <c r="F22" s="19">
        <v>0.62</v>
      </c>
      <c r="G22" s="19">
        <v>0.26</v>
      </c>
      <c r="H22" s="19">
        <v>0.31</v>
      </c>
      <c r="I22" s="19">
        <v>0.88</v>
      </c>
      <c r="J22" s="19">
        <v>0.22</v>
      </c>
      <c r="K22" s="19">
        <v>0</v>
      </c>
      <c r="L22" s="19">
        <v>0.21</v>
      </c>
      <c r="M22" s="22">
        <f t="shared" si="0"/>
        <v>0</v>
      </c>
      <c r="N22" s="22">
        <f t="shared" si="1"/>
        <v>2.8245133200000008</v>
      </c>
      <c r="O22" s="22">
        <f t="shared" si="2"/>
        <v>4.9999999999999989E-2</v>
      </c>
      <c r="P22" s="23">
        <f t="shared" si="3"/>
        <v>2.8745133200000006</v>
      </c>
    </row>
    <row r="23" spans="1:16" x14ac:dyDescent="0.35">
      <c r="A23" s="5" t="s">
        <v>170</v>
      </c>
      <c r="B23" s="19">
        <v>5.6161111100000003</v>
      </c>
      <c r="C23" s="19">
        <v>1.63122597</v>
      </c>
      <c r="D23" s="19">
        <v>3.8700031099999999</v>
      </c>
      <c r="E23" s="19">
        <v>0</v>
      </c>
      <c r="F23" s="19">
        <v>0.66</v>
      </c>
      <c r="G23" s="19">
        <v>0.27</v>
      </c>
      <c r="H23" s="19">
        <v>0.31</v>
      </c>
      <c r="I23" s="19">
        <v>0.9</v>
      </c>
      <c r="J23" s="19">
        <v>0.22</v>
      </c>
      <c r="K23" s="19">
        <v>0</v>
      </c>
      <c r="L23" s="19">
        <v>0.21</v>
      </c>
      <c r="M23" s="22">
        <f t="shared" si="0"/>
        <v>0</v>
      </c>
      <c r="N23" s="22">
        <f t="shared" si="1"/>
        <v>3.3773339700000005</v>
      </c>
      <c r="O23" s="22">
        <f t="shared" si="2"/>
        <v>8.0000000000000016E-2</v>
      </c>
      <c r="P23" s="23">
        <f t="shared" si="3"/>
        <v>3.4573339700000005</v>
      </c>
    </row>
    <row r="24" spans="1:16" x14ac:dyDescent="0.35">
      <c r="A24" s="5" t="s">
        <v>171</v>
      </c>
      <c r="B24" s="19">
        <v>5.9224444399999996</v>
      </c>
      <c r="C24" s="19">
        <v>1.90412406</v>
      </c>
      <c r="D24" s="19">
        <v>3.6111075600000002</v>
      </c>
      <c r="E24" s="19">
        <v>0</v>
      </c>
      <c r="F24" s="19">
        <v>0.7</v>
      </c>
      <c r="G24" s="19">
        <v>0.28000000000000003</v>
      </c>
      <c r="H24" s="19">
        <v>0.32</v>
      </c>
      <c r="I24" s="19">
        <v>0.93</v>
      </c>
      <c r="J24" s="19">
        <v>0.23</v>
      </c>
      <c r="K24" s="19">
        <v>0</v>
      </c>
      <c r="L24" s="19">
        <v>0.22</v>
      </c>
      <c r="M24" s="22">
        <f t="shared" si="0"/>
        <v>0</v>
      </c>
      <c r="N24" s="22">
        <f t="shared" si="1"/>
        <v>4.2154609399999998</v>
      </c>
      <c r="O24" s="22">
        <f t="shared" si="2"/>
        <v>9.9999999999999922E-2</v>
      </c>
      <c r="P24" s="23">
        <f t="shared" si="3"/>
        <v>4.3154609399999995</v>
      </c>
    </row>
    <row r="25" spans="1:16" x14ac:dyDescent="0.35">
      <c r="A25" s="5" t="s">
        <v>172</v>
      </c>
      <c r="B25" s="19">
        <v>6.5351111099999999</v>
      </c>
      <c r="C25" s="19">
        <v>1.9407418299999999</v>
      </c>
      <c r="D25" s="19">
        <v>4.0416080000000001</v>
      </c>
      <c r="E25" s="19">
        <v>0</v>
      </c>
      <c r="F25" s="19">
        <v>0.78</v>
      </c>
      <c r="G25" s="19">
        <v>0.28999999999999998</v>
      </c>
      <c r="H25" s="19">
        <v>0.32</v>
      </c>
      <c r="I25" s="19">
        <v>0.96</v>
      </c>
      <c r="J25" s="19">
        <v>0.23</v>
      </c>
      <c r="K25" s="19">
        <v>0</v>
      </c>
      <c r="L25" s="19">
        <v>0.22</v>
      </c>
      <c r="M25" s="22">
        <f t="shared" si="0"/>
        <v>0</v>
      </c>
      <c r="N25" s="22">
        <f t="shared" si="1"/>
        <v>4.4342449399999992</v>
      </c>
      <c r="O25" s="22">
        <f t="shared" si="2"/>
        <v>0.17000000000000004</v>
      </c>
      <c r="P25" s="23">
        <f t="shared" si="3"/>
        <v>4.6042449399999992</v>
      </c>
    </row>
    <row r="26" spans="1:16" x14ac:dyDescent="0.35">
      <c r="A26" s="5" t="s">
        <v>173</v>
      </c>
      <c r="B26" s="19">
        <v>7.6583333299999996</v>
      </c>
      <c r="C26" s="19">
        <v>2.0139773700000001</v>
      </c>
      <c r="D26" s="19">
        <v>4.84011689</v>
      </c>
      <c r="E26" s="19">
        <v>0</v>
      </c>
      <c r="F26" s="19">
        <v>0.92</v>
      </c>
      <c r="G26" s="19">
        <v>0.31</v>
      </c>
      <c r="H26" s="19">
        <v>0.33</v>
      </c>
      <c r="I26" s="19">
        <v>1.02</v>
      </c>
      <c r="J26" s="19">
        <v>0.24</v>
      </c>
      <c r="K26" s="19">
        <v>0</v>
      </c>
      <c r="L26" s="19">
        <v>0.23</v>
      </c>
      <c r="M26" s="22">
        <f t="shared" si="0"/>
        <v>0</v>
      </c>
      <c r="N26" s="22">
        <f t="shared" si="1"/>
        <v>4.8321938100000006</v>
      </c>
      <c r="O26" s="22">
        <f t="shared" si="2"/>
        <v>0.28000000000000008</v>
      </c>
      <c r="P26" s="23">
        <f t="shared" si="3"/>
        <v>5.1121938100000008</v>
      </c>
    </row>
    <row r="27" spans="1:16" x14ac:dyDescent="0.35">
      <c r="A27" s="5" t="s">
        <v>174</v>
      </c>
      <c r="B27" s="19">
        <v>7.5562222200000004</v>
      </c>
      <c r="C27" s="19">
        <v>2.1238306800000002</v>
      </c>
      <c r="D27" s="19">
        <v>4.1841551099999998</v>
      </c>
      <c r="E27" s="19">
        <v>0</v>
      </c>
      <c r="F27" s="19">
        <v>0.85</v>
      </c>
      <c r="G27" s="19">
        <v>0.34</v>
      </c>
      <c r="H27" s="19">
        <v>0.34</v>
      </c>
      <c r="I27" s="19">
        <v>1.08</v>
      </c>
      <c r="J27" s="19">
        <v>0.26</v>
      </c>
      <c r="K27" s="19">
        <v>0</v>
      </c>
      <c r="L27" s="19">
        <v>0.23</v>
      </c>
      <c r="M27" s="22">
        <f>IF(AND($B$6="Yes",1=1),$B$7,0)</f>
        <v>0.25</v>
      </c>
      <c r="N27" s="22">
        <f t="shared" si="1"/>
        <v>5.2458977899999999</v>
      </c>
      <c r="O27" s="22">
        <f t="shared" si="2"/>
        <v>0.16999999999999998</v>
      </c>
      <c r="P27" s="23">
        <f t="shared" si="3"/>
        <v>5.4158977899999998</v>
      </c>
    </row>
    <row r="28" spans="1:16" x14ac:dyDescent="0.35">
      <c r="A28" s="5" t="s">
        <v>175</v>
      </c>
      <c r="B28" s="19">
        <v>7.0456666700000001</v>
      </c>
      <c r="C28" s="19">
        <v>2.3435373099999999</v>
      </c>
      <c r="D28" s="19">
        <v>3.3848293300000001</v>
      </c>
      <c r="E28" s="19">
        <v>0</v>
      </c>
      <c r="F28" s="19">
        <v>0.72</v>
      </c>
      <c r="G28" s="19">
        <v>0.38</v>
      </c>
      <c r="H28" s="19">
        <v>0.36</v>
      </c>
      <c r="I28" s="19">
        <v>1.1599999999999999</v>
      </c>
      <c r="J28" s="19">
        <v>0.3</v>
      </c>
      <c r="K28" s="19">
        <v>0.4</v>
      </c>
      <c r="L28" s="19">
        <v>0.24</v>
      </c>
      <c r="M28" s="22">
        <f>IF(AND($B$6="Yes",1=1),$B$7,0)</f>
        <v>0.25</v>
      </c>
      <c r="N28" s="22">
        <f t="shared" si="1"/>
        <v>5.754374649999999</v>
      </c>
      <c r="O28" s="22">
        <f t="shared" si="2"/>
        <v>-2.0000000000000018E-2</v>
      </c>
      <c r="P28" s="23">
        <f t="shared" si="3"/>
        <v>5.7343746499999995</v>
      </c>
    </row>
    <row r="29" spans="1:16" x14ac:dyDescent="0.35">
      <c r="A29" s="5" t="s">
        <v>176</v>
      </c>
      <c r="B29" s="19">
        <v>5.8203333300000004</v>
      </c>
      <c r="C29" s="19">
        <v>2.7463327799999999</v>
      </c>
      <c r="D29" s="19">
        <v>3.3864951099999998</v>
      </c>
      <c r="E29" s="19">
        <v>0.25</v>
      </c>
      <c r="F29" s="19">
        <v>0.62</v>
      </c>
      <c r="G29" s="19">
        <v>0.42</v>
      </c>
      <c r="H29" s="19">
        <v>0.39</v>
      </c>
      <c r="I29" s="19">
        <v>1.22</v>
      </c>
      <c r="J29" s="19">
        <v>0.36</v>
      </c>
      <c r="K29" s="19">
        <v>0.4</v>
      </c>
      <c r="L29" s="19">
        <v>0.24</v>
      </c>
      <c r="M29" s="22">
        <f>IF(AND($B$6="Yes",1=1),$B$7,0)</f>
        <v>0.25</v>
      </c>
      <c r="N29" s="22">
        <f t="shared" si="1"/>
        <v>5.1801709999999996</v>
      </c>
      <c r="O29" s="22">
        <f t="shared" si="2"/>
        <v>-0.19</v>
      </c>
      <c r="P29" s="23">
        <f t="shared" si="3"/>
        <v>4.9901709999999992</v>
      </c>
    </row>
    <row r="30" spans="1:16" x14ac:dyDescent="0.35">
      <c r="A30" s="5" t="s">
        <v>177</v>
      </c>
      <c r="B30" s="19">
        <v>5.7182222200000004</v>
      </c>
      <c r="C30" s="19">
        <v>2.7517150099999999</v>
      </c>
      <c r="D30" s="19">
        <v>3.4861555599999998</v>
      </c>
      <c r="E30" s="19">
        <v>0.25</v>
      </c>
      <c r="F30" s="19">
        <v>0.65</v>
      </c>
      <c r="G30" s="19">
        <v>0.42</v>
      </c>
      <c r="H30" s="19">
        <v>0.36</v>
      </c>
      <c r="I30" s="19">
        <v>1.1000000000000001</v>
      </c>
      <c r="J30" s="19">
        <v>0.3</v>
      </c>
      <c r="K30" s="19">
        <v>0.25</v>
      </c>
      <c r="L30" s="19">
        <v>0.25</v>
      </c>
      <c r="M30" s="22">
        <f>IF(AND($B$6="Yes",1=1),$B$7,0)</f>
        <v>0.25</v>
      </c>
      <c r="N30" s="22">
        <f t="shared" si="1"/>
        <v>4.9837816699999991</v>
      </c>
      <c r="O30" s="22">
        <f t="shared" si="2"/>
        <v>-0.12999999999999995</v>
      </c>
      <c r="P30" s="23">
        <f t="shared" si="3"/>
        <v>4.8537816699999992</v>
      </c>
    </row>
    <row r="32" spans="1:16" x14ac:dyDescent="0.35">
      <c r="A32" s="5" t="s">
        <v>178</v>
      </c>
      <c r="B32" s="18">
        <f>AVERAGE(P19:P30)</f>
        <v>4.1148310074999994</v>
      </c>
    </row>
    <row r="33" spans="1:2" x14ac:dyDescent="0.35">
      <c r="A33" s="5" t="s">
        <v>179</v>
      </c>
      <c r="B33" s="18">
        <f>(SUM(P19:P30)-MAX(P19:P30)-MIN(P19:P30))/10</f>
        <v>4.1483597439999995</v>
      </c>
    </row>
    <row r="34" spans="1:2" x14ac:dyDescent="0.35">
      <c r="A34" s="5" t="s">
        <v>180</v>
      </c>
      <c r="B34" s="18">
        <f>AVERAGE(P22:P30)</f>
        <v>4.5953302322222216</v>
      </c>
    </row>
    <row r="35" spans="1:2" x14ac:dyDescent="0.35">
      <c r="A35" s="15" t="s">
        <v>181</v>
      </c>
      <c r="B35" s="17">
        <f>P30</f>
        <v>4.8537816699999992</v>
      </c>
    </row>
    <row r="36" spans="1:2" x14ac:dyDescent="0.35">
      <c r="A36" s="15" t="s">
        <v>182</v>
      </c>
      <c r="B36" s="17">
        <f>MAX(P22:P30)</f>
        <v>5.7343746499999995</v>
      </c>
    </row>
    <row r="37" spans="1:2" x14ac:dyDescent="0.35">
      <c r="A37" s="5" t="s">
        <v>183</v>
      </c>
      <c r="B37" s="18">
        <f>P21</f>
        <v>3.25</v>
      </c>
    </row>
    <row r="38" spans="1:2" x14ac:dyDescent="0.35">
      <c r="A38" s="5" t="s">
        <v>184</v>
      </c>
      <c r="B38" s="24" t="str">
        <f>INDEX(A22:A30,MATCH(MAX(P22:P30),P22:P30,0))</f>
        <v>Oct-26</v>
      </c>
    </row>
  </sheetData>
  <dataValidations count="1">
    <dataValidation type="list" sqref="B4:B6" xr:uid="{00000000-0002-0000-0400-000000000000}">
      <formula1>"Yes,No"</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
  <sheetViews>
    <sheetView workbookViewId="0"/>
  </sheetViews>
  <sheetFormatPr defaultRowHeight="14.5" x14ac:dyDescent="0.35"/>
  <cols>
    <col min="1" max="1" width="64" customWidth="1"/>
    <col min="2" max="2" width="14" customWidth="1"/>
    <col min="3" max="3" width="18" customWidth="1"/>
    <col min="4" max="4" width="14" customWidth="1"/>
  </cols>
  <sheetData>
    <row r="1" spans="1:5" ht="24" customHeight="1" x14ac:dyDescent="0.4">
      <c r="A1" s="1" t="s">
        <v>185</v>
      </c>
      <c r="B1" s="2"/>
      <c r="C1" s="2"/>
      <c r="D1" s="2"/>
      <c r="E1" s="2"/>
    </row>
    <row r="2" spans="1:5" x14ac:dyDescent="0.35">
      <c r="A2" s="3" t="s">
        <v>186</v>
      </c>
    </row>
    <row r="4" spans="1:5" x14ac:dyDescent="0.35">
      <c r="A4" s="5" t="s">
        <v>187</v>
      </c>
      <c r="B4" s="12" t="s">
        <v>188</v>
      </c>
    </row>
    <row r="5" spans="1:5" x14ac:dyDescent="0.35">
      <c r="A5" s="5" t="s">
        <v>189</v>
      </c>
      <c r="B5" s="12" t="s">
        <v>190</v>
      </c>
    </row>
    <row r="6" spans="1:5" x14ac:dyDescent="0.35">
      <c r="A6" s="5" t="s">
        <v>191</v>
      </c>
      <c r="B6" s="12" t="s">
        <v>192</v>
      </c>
    </row>
    <row r="7" spans="1:5" x14ac:dyDescent="0.35">
      <c r="A7" s="5" t="s">
        <v>193</v>
      </c>
      <c r="B7" s="12" t="s">
        <v>194</v>
      </c>
    </row>
    <row r="8" spans="1:5" x14ac:dyDescent="0.35">
      <c r="A8" s="5" t="s">
        <v>195</v>
      </c>
      <c r="B8" s="11">
        <v>0.15</v>
      </c>
    </row>
    <row r="10" spans="1:5" x14ac:dyDescent="0.35">
      <c r="A10" s="9" t="s">
        <v>196</v>
      </c>
      <c r="B10" s="10" t="s">
        <v>62</v>
      </c>
      <c r="C10" s="10" t="s">
        <v>197</v>
      </c>
      <c r="D10" s="10" t="s">
        <v>198</v>
      </c>
    </row>
    <row r="11" spans="1:5" x14ac:dyDescent="0.35">
      <c r="A11" s="5" t="s">
        <v>199</v>
      </c>
      <c r="B11" s="11">
        <v>26.198532700000001</v>
      </c>
      <c r="C11" s="5" t="s">
        <v>200</v>
      </c>
      <c r="D11" s="18">
        <f t="shared" ref="D11:D20" si="0">IF(C11="Cash",B11,IF(OR(C11="Debt",C11="Debt-like"),-B11,0))</f>
        <v>26.198532700000001</v>
      </c>
    </row>
    <row r="12" spans="1:5" x14ac:dyDescent="0.35">
      <c r="A12" s="5" t="s">
        <v>73</v>
      </c>
      <c r="B12" s="11">
        <v>4.4549999999999999E-2</v>
      </c>
      <c r="C12" s="25" t="str">
        <f>IF($B$7="Cash-like","Cash","Left out")</f>
        <v>Cash</v>
      </c>
      <c r="D12" s="18">
        <f t="shared" si="0"/>
        <v>4.4549999999999999E-2</v>
      </c>
    </row>
    <row r="13" spans="1:5" x14ac:dyDescent="0.35">
      <c r="A13" s="5" t="s">
        <v>201</v>
      </c>
      <c r="B13" s="11">
        <v>2.5</v>
      </c>
      <c r="C13" s="5" t="s">
        <v>202</v>
      </c>
      <c r="D13" s="18">
        <f t="shared" si="0"/>
        <v>-2.5</v>
      </c>
    </row>
    <row r="14" spans="1:5" x14ac:dyDescent="0.35">
      <c r="A14" s="5" t="s">
        <v>203</v>
      </c>
      <c r="B14" s="11">
        <v>2.8335619999999999E-2</v>
      </c>
      <c r="C14" s="5" t="s">
        <v>202</v>
      </c>
      <c r="D14" s="18">
        <f t="shared" si="0"/>
        <v>-2.8335619999999999E-2</v>
      </c>
    </row>
    <row r="15" spans="1:5" x14ac:dyDescent="0.35">
      <c r="A15" s="5" t="s">
        <v>204</v>
      </c>
      <c r="B15" s="11">
        <v>0.25475896999999997</v>
      </c>
      <c r="C15" s="5" t="s">
        <v>192</v>
      </c>
      <c r="D15" s="18">
        <f t="shared" si="0"/>
        <v>-0.25475896999999997</v>
      </c>
    </row>
    <row r="16" spans="1:5" x14ac:dyDescent="0.35">
      <c r="A16" s="5" t="s">
        <v>205</v>
      </c>
      <c r="B16" s="11">
        <v>7.1999999999999995E-2</v>
      </c>
      <c r="C16" s="5" t="s">
        <v>192</v>
      </c>
      <c r="D16" s="18">
        <f t="shared" si="0"/>
        <v>-7.1999999999999995E-2</v>
      </c>
    </row>
    <row r="17" spans="1:4" x14ac:dyDescent="0.35">
      <c r="A17" s="5" t="s">
        <v>206</v>
      </c>
      <c r="B17" s="18">
        <f>IF($B$5="Actuarial",0.24,$B$8)</f>
        <v>0.24</v>
      </c>
      <c r="C17" s="25" t="str">
        <f>IF($B$5="Working capital","Working capital","Debt-like")</f>
        <v>Debt-like</v>
      </c>
      <c r="D17" s="18">
        <f t="shared" si="0"/>
        <v>-0.24</v>
      </c>
    </row>
    <row r="18" spans="1:4" x14ac:dyDescent="0.35">
      <c r="A18" s="5" t="s">
        <v>207</v>
      </c>
      <c r="B18" s="11">
        <v>0.1</v>
      </c>
      <c r="C18" s="5" t="s">
        <v>192</v>
      </c>
      <c r="D18" s="18">
        <f t="shared" si="0"/>
        <v>-0.1</v>
      </c>
    </row>
    <row r="19" spans="1:4" x14ac:dyDescent="0.35">
      <c r="A19" s="5" t="s">
        <v>208</v>
      </c>
      <c r="B19" s="11">
        <v>0.25</v>
      </c>
      <c r="C19" s="25" t="str">
        <f>IF($B$6="Debt-like","Debt-like","Working capital")</f>
        <v>Debt-like</v>
      </c>
      <c r="D19" s="18">
        <f t="shared" si="0"/>
        <v>-0.25</v>
      </c>
    </row>
    <row r="20" spans="1:4" x14ac:dyDescent="0.35">
      <c r="A20" s="5" t="s">
        <v>209</v>
      </c>
      <c r="B20" s="11">
        <v>0.08</v>
      </c>
      <c r="C20" s="25" t="str">
        <f>IF($B$4="Debt-like","Debt-like","Working capital")</f>
        <v>Working capital</v>
      </c>
      <c r="D20" s="18">
        <f t="shared" si="0"/>
        <v>0</v>
      </c>
    </row>
    <row r="22" spans="1:4" x14ac:dyDescent="0.35">
      <c r="A22" s="5" t="s">
        <v>210</v>
      </c>
      <c r="B22" s="18">
        <f>SUMIF(C11:C20,"Cash",B11:B20)</f>
        <v>26.243082700000002</v>
      </c>
    </row>
    <row r="23" spans="1:4" x14ac:dyDescent="0.35">
      <c r="A23" s="5" t="s">
        <v>202</v>
      </c>
      <c r="B23" s="18">
        <f>SUMIF(C11:C20,"Debt",B11:B20)</f>
        <v>2.52833562</v>
      </c>
    </row>
    <row r="24" spans="1:4" x14ac:dyDescent="0.35">
      <c r="A24" s="5" t="s">
        <v>211</v>
      </c>
      <c r="B24" s="18">
        <f>SUMIF(C11:C20,"Debt-like",B11:B20)</f>
        <v>0.91675896999999995</v>
      </c>
    </row>
    <row r="25" spans="1:4" x14ac:dyDescent="0.35">
      <c r="A25" s="15" t="s">
        <v>212</v>
      </c>
      <c r="B25" s="17">
        <f>B22-B23-B24</f>
        <v>22.797988110000002</v>
      </c>
    </row>
    <row r="26" spans="1:4" x14ac:dyDescent="0.35">
      <c r="A26" s="5" t="s">
        <v>213</v>
      </c>
      <c r="B26" s="18">
        <f>B11-B13</f>
        <v>23.698532700000001</v>
      </c>
    </row>
  </sheetData>
  <dataValidations count="4">
    <dataValidation type="list" sqref="B4" xr:uid="{00000000-0002-0000-0500-000000000000}">
      <formula1>"Working capital,Debt-like"</formula1>
    </dataValidation>
    <dataValidation type="list" sqref="B5" xr:uid="{00000000-0002-0000-0500-000001000000}">
      <formula1>"Actuarial,Book,Working capital"</formula1>
    </dataValidation>
    <dataValidation type="list" sqref="B6" xr:uid="{00000000-0002-0000-0500-000002000000}">
      <formula1>"Debt-like,Working capital"</formula1>
    </dataValidation>
    <dataValidation type="list" sqref="B7" xr:uid="{00000000-0002-0000-0500-000003000000}">
      <formula1>"Cash-like,Left out"</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3"/>
  <sheetViews>
    <sheetView workbookViewId="0"/>
  </sheetViews>
  <sheetFormatPr defaultRowHeight="14.5" x14ac:dyDescent="0.35"/>
  <cols>
    <col min="1" max="1" width="18" customWidth="1"/>
    <col min="2" max="2" width="120" customWidth="1"/>
  </cols>
  <sheetData>
    <row r="1" spans="1:2" ht="24" customHeight="1" x14ac:dyDescent="0.4">
      <c r="A1" s="1" t="s">
        <v>214</v>
      </c>
      <c r="B1" s="2"/>
    </row>
    <row r="2" spans="1:2" x14ac:dyDescent="0.35">
      <c r="A2" s="3" t="s">
        <v>215</v>
      </c>
    </row>
    <row r="4" spans="1:2" x14ac:dyDescent="0.35">
      <c r="A4" s="5" t="s">
        <v>216</v>
      </c>
      <c r="B4" s="5" t="s">
        <v>217</v>
      </c>
    </row>
    <row r="5" spans="1:2" x14ac:dyDescent="0.35">
      <c r="A5" s="5" t="s">
        <v>218</v>
      </c>
      <c r="B5" s="5" t="s">
        <v>219</v>
      </c>
    </row>
    <row r="6" spans="1:2" ht="25" x14ac:dyDescent="0.35">
      <c r="A6" s="5" t="s">
        <v>220</v>
      </c>
      <c r="B6" s="5" t="s">
        <v>221</v>
      </c>
    </row>
    <row r="7" spans="1:2" ht="25" x14ac:dyDescent="0.35">
      <c r="A7" s="5" t="s">
        <v>222</v>
      </c>
      <c r="B7" s="5" t="s">
        <v>223</v>
      </c>
    </row>
    <row r="8" spans="1:2" x14ac:dyDescent="0.35">
      <c r="A8" s="5" t="s">
        <v>224</v>
      </c>
      <c r="B8" s="5" t="s">
        <v>225</v>
      </c>
    </row>
    <row r="9" spans="1:2" ht="25" x14ac:dyDescent="0.35">
      <c r="A9" s="5" t="s">
        <v>226</v>
      </c>
      <c r="B9" s="5" t="s">
        <v>227</v>
      </c>
    </row>
    <row r="10" spans="1:2" ht="25" x14ac:dyDescent="0.35">
      <c r="A10" s="5" t="s">
        <v>228</v>
      </c>
      <c r="B10" s="5" t="s">
        <v>229</v>
      </c>
    </row>
    <row r="11" spans="1:2" x14ac:dyDescent="0.35">
      <c r="A11" s="5" t="s">
        <v>230</v>
      </c>
      <c r="B11" s="5" t="s">
        <v>231</v>
      </c>
    </row>
    <row r="12" spans="1:2" ht="25" x14ac:dyDescent="0.35">
      <c r="A12" s="5" t="s">
        <v>189</v>
      </c>
      <c r="B12" s="5" t="s">
        <v>232</v>
      </c>
    </row>
    <row r="13" spans="1:2" x14ac:dyDescent="0.35">
      <c r="A13" s="5" t="s">
        <v>233</v>
      </c>
      <c r="B13" s="5" t="s">
        <v>234</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
  <sheetViews>
    <sheetView workbookViewId="0"/>
  </sheetViews>
  <sheetFormatPr defaultRowHeight="14.5" x14ac:dyDescent="0.35"/>
  <cols>
    <col min="1" max="1" width="52" customWidth="1"/>
    <col min="2" max="2" width="14" customWidth="1"/>
    <col min="3" max="3" width="10" customWidth="1"/>
  </cols>
  <sheetData>
    <row r="1" spans="1:5" ht="24" customHeight="1" x14ac:dyDescent="0.4">
      <c r="A1" s="1" t="s">
        <v>235</v>
      </c>
      <c r="B1" s="2"/>
      <c r="C1" s="2"/>
      <c r="D1" s="2"/>
      <c r="E1" s="2"/>
    </row>
    <row r="2" spans="1:5" x14ac:dyDescent="0.35">
      <c r="A2" s="3" t="s">
        <v>236</v>
      </c>
    </row>
    <row r="4" spans="1:5" x14ac:dyDescent="0.35">
      <c r="A4" s="4" t="s">
        <v>237</v>
      </c>
    </row>
    <row r="5" spans="1:5" x14ac:dyDescent="0.35">
      <c r="A5" s="5" t="s">
        <v>142</v>
      </c>
      <c r="B5" s="11">
        <v>5.7182222200000004</v>
      </c>
    </row>
    <row r="6" spans="1:5" x14ac:dyDescent="0.35">
      <c r="A6" s="5" t="s">
        <v>143</v>
      </c>
      <c r="B6" s="11">
        <v>2.7517150099999999</v>
      </c>
    </row>
    <row r="7" spans="1:5" x14ac:dyDescent="0.35">
      <c r="A7" s="5" t="s">
        <v>144</v>
      </c>
      <c r="B7" s="11">
        <v>3.4861555599999998</v>
      </c>
    </row>
    <row r="8" spans="1:5" x14ac:dyDescent="0.35">
      <c r="A8" s="5" t="s">
        <v>146</v>
      </c>
      <c r="B8" s="11">
        <v>0.65</v>
      </c>
    </row>
    <row r="9" spans="1:5" x14ac:dyDescent="0.35">
      <c r="A9" s="5" t="s">
        <v>147</v>
      </c>
      <c r="B9" s="11">
        <v>0.42</v>
      </c>
    </row>
    <row r="10" spans="1:5" x14ac:dyDescent="0.35">
      <c r="A10" s="5" t="s">
        <v>148</v>
      </c>
      <c r="B10" s="11">
        <v>0.36</v>
      </c>
    </row>
    <row r="11" spans="1:5" x14ac:dyDescent="0.35">
      <c r="A11" s="5" t="s">
        <v>238</v>
      </c>
      <c r="B11" s="11">
        <v>2.1985326999999999</v>
      </c>
    </row>
    <row r="12" spans="1:5" x14ac:dyDescent="0.35">
      <c r="A12" s="5" t="s">
        <v>239</v>
      </c>
      <c r="B12" s="11">
        <v>18</v>
      </c>
    </row>
    <row r="13" spans="1:5" x14ac:dyDescent="0.35">
      <c r="A13" s="5" t="s">
        <v>240</v>
      </c>
      <c r="B13" s="11">
        <v>6</v>
      </c>
    </row>
    <row r="15" spans="1:5" x14ac:dyDescent="0.35">
      <c r="A15" s="4" t="s">
        <v>241</v>
      </c>
    </row>
    <row r="16" spans="1:5" x14ac:dyDescent="0.35">
      <c r="A16" s="5" t="s">
        <v>242</v>
      </c>
      <c r="B16" s="16">
        <f>'02_EBITDA_Bridge'!F26</f>
        <v>-8.0105491299999994</v>
      </c>
    </row>
    <row r="17" spans="1:3" x14ac:dyDescent="0.35">
      <c r="A17" s="5" t="s">
        <v>243</v>
      </c>
      <c r="B17" s="16">
        <f>'04_NWC_Monthly'!B35</f>
        <v>4.8537816699999992</v>
      </c>
    </row>
    <row r="18" spans="1:3" x14ac:dyDescent="0.35">
      <c r="A18" s="5" t="s">
        <v>244</v>
      </c>
      <c r="B18" s="16">
        <f>'05_Net_Debt'!B25</f>
        <v>22.797988110000002</v>
      </c>
    </row>
    <row r="20" spans="1:3" x14ac:dyDescent="0.35">
      <c r="A20" s="9" t="s">
        <v>245</v>
      </c>
      <c r="B20" s="10" t="s">
        <v>246</v>
      </c>
      <c r="C20" s="10" t="s">
        <v>247</v>
      </c>
    </row>
    <row r="21" spans="1:3" x14ac:dyDescent="0.35">
      <c r="A21" s="5" t="s">
        <v>248</v>
      </c>
      <c r="B21" s="18">
        <f>ABS('02_EBITDA_Bridge'!F24-'01_Sources'!C7)+ABS('02_EBITDA_Bridge'!E24-'01_Sources'!C6)</f>
        <v>0</v>
      </c>
      <c r="C21" s="26" t="str">
        <f>IF(B21&lt;=0.005,"Pass","Fail")</f>
        <v>Pass</v>
      </c>
    </row>
    <row r="22" spans="1:3" x14ac:dyDescent="0.35">
      <c r="A22" s="5" t="s">
        <v>249</v>
      </c>
      <c r="B22" s="18">
        <f>ABS('04_NWC_Monthly'!B30-B5)+ABS('04_NWC_Monthly'!C30-B6)+ABS('04_NWC_Monthly'!D30-B7)+ABS('04_NWC_Monthly'!F30-B8)+ABS('04_NWC_Monthly'!G30-B9)+ABS('04_NWC_Monthly'!H30-B10)</f>
        <v>0</v>
      </c>
      <c r="C22" s="26" t="str">
        <f>IF(B22&lt;=0.005,"Pass","Fail")</f>
        <v>Pass</v>
      </c>
    </row>
    <row r="23" spans="1:3" x14ac:dyDescent="0.35">
      <c r="A23" s="5" t="s">
        <v>250</v>
      </c>
      <c r="B23" s="18">
        <f>ABS('05_Net_Debt'!B11-SUM(B11:B13))</f>
        <v>0</v>
      </c>
      <c r="C23" s="26" t="str">
        <f>IF(B23&lt;=0.005,"Pass","Fail")</f>
        <v>Pass</v>
      </c>
    </row>
    <row r="24" spans="1:3" x14ac:dyDescent="0.35">
      <c r="A24" s="5" t="s">
        <v>251</v>
      </c>
      <c r="B24" s="18">
        <f>IF(AND('04_NWC_Monthly'!B5="Yes",'05_Net_Debt'!B5&lt;&gt;"Working capital"),1,0)</f>
        <v>0</v>
      </c>
      <c r="C24" s="26" t="str">
        <f>IF(B24&lt;=0.005,"Pass","Fail")</f>
        <v>Pass</v>
      </c>
    </row>
    <row r="25" spans="1:3" x14ac:dyDescent="0.35">
      <c r="A25" s="5" t="s">
        <v>252</v>
      </c>
      <c r="B25" s="18">
        <f>ABS(B16-'02_EBITDA_Bridge'!F26)+ABS(B17-'04_NWC_Monthly'!B35)+ABS(B18-'05_Net_Debt'!B25)</f>
        <v>0</v>
      </c>
      <c r="C25" s="26" t="str">
        <f>IF(B25&lt;=0.005,"Pass","Fail")</f>
        <v>Pass</v>
      </c>
    </row>
    <row r="27" spans="1:3" x14ac:dyDescent="0.35">
      <c r="A27" s="15" t="s">
        <v>253</v>
      </c>
      <c r="B27" s="27">
        <f>COUNTIF(C21:C25,"Pass")</f>
        <v>5</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9"/>
  <sheetViews>
    <sheetView workbookViewId="0"/>
  </sheetViews>
  <sheetFormatPr defaultRowHeight="14.5" x14ac:dyDescent="0.35"/>
  <cols>
    <col min="1" max="1" width="6" customWidth="1"/>
    <col min="2" max="2" width="120" customWidth="1"/>
  </cols>
  <sheetData>
    <row r="1" spans="1:2" ht="24" customHeight="1" x14ac:dyDescent="0.4">
      <c r="A1" s="1" t="s">
        <v>254</v>
      </c>
      <c r="B1" s="2"/>
    </row>
    <row r="2" spans="1:2" x14ac:dyDescent="0.35">
      <c r="A2" s="3" t="s">
        <v>255</v>
      </c>
    </row>
    <row r="4" spans="1:2" ht="25" x14ac:dyDescent="0.35">
      <c r="A4" s="5" t="s">
        <v>3</v>
      </c>
      <c r="B4" s="5" t="s">
        <v>256</v>
      </c>
    </row>
    <row r="5" spans="1:2" ht="37.5" x14ac:dyDescent="0.35">
      <c r="A5" s="5" t="s">
        <v>5</v>
      </c>
      <c r="B5" s="5" t="s">
        <v>257</v>
      </c>
    </row>
    <row r="6" spans="1:2" ht="25" x14ac:dyDescent="0.35">
      <c r="A6" s="5" t="s">
        <v>7</v>
      </c>
      <c r="B6" s="5" t="s">
        <v>258</v>
      </c>
    </row>
    <row r="7" spans="1:2" ht="37.5" x14ac:dyDescent="0.35">
      <c r="A7" s="5" t="s">
        <v>9</v>
      </c>
      <c r="B7" s="5" t="s">
        <v>259</v>
      </c>
    </row>
    <row r="8" spans="1:2" ht="25" x14ac:dyDescent="0.35">
      <c r="A8" s="5" t="s">
        <v>260</v>
      </c>
      <c r="B8" s="5" t="s">
        <v>261</v>
      </c>
    </row>
    <row r="9" spans="1:2" x14ac:dyDescent="0.35">
      <c r="A9" s="5" t="s">
        <v>262</v>
      </c>
      <c r="B9" s="5" t="s">
        <v>263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4"/>
  <sheetViews>
    <sheetView workbookViewId="0"/>
  </sheetViews>
  <sheetFormatPr defaultRowHeight="14.5" x14ac:dyDescent="0.35"/>
  <cols>
    <col min="1" max="1" width="52" customWidth="1"/>
    <col min="2" max="3" width="16" customWidth="1"/>
    <col min="4" max="4" width="14" customWidth="1"/>
    <col min="5" max="6" width="12" customWidth="1"/>
  </cols>
  <sheetData>
    <row r="1" spans="1:6" ht="24" customHeight="1" x14ac:dyDescent="0.4">
      <c r="A1" s="1" t="s">
        <v>264</v>
      </c>
      <c r="B1" s="2"/>
      <c r="C1" s="2"/>
      <c r="D1" s="2"/>
      <c r="E1" s="2"/>
      <c r="F1" s="2"/>
    </row>
    <row r="2" spans="1:6" x14ac:dyDescent="0.35">
      <c r="A2" s="3" t="s">
        <v>265</v>
      </c>
    </row>
    <row r="3" spans="1:6" x14ac:dyDescent="0.35">
      <c r="A3" s="9" t="s">
        <v>60</v>
      </c>
      <c r="B3" s="10" t="s">
        <v>266</v>
      </c>
      <c r="C3" s="10" t="s">
        <v>267</v>
      </c>
      <c r="D3" s="10" t="s">
        <v>246</v>
      </c>
      <c r="E3" s="10" t="s">
        <v>268</v>
      </c>
      <c r="F3" s="10" t="s">
        <v>269</v>
      </c>
    </row>
    <row r="4" spans="1:6" x14ac:dyDescent="0.35">
      <c r="A4" s="5" t="s">
        <v>270</v>
      </c>
      <c r="B4" s="11">
        <v>-3.62</v>
      </c>
      <c r="C4" s="16">
        <f>'02_EBITDA_Bridge'!D24</f>
        <v>-3.62</v>
      </c>
      <c r="D4" s="18">
        <f t="shared" ref="D4:D24" si="0">IF(ISNUMBER(C4),C4-B4,"")</f>
        <v>0</v>
      </c>
      <c r="E4" s="26" t="str">
        <f t="shared" ref="E4:E24" si="1">IF(NOT(ISNUMBER(C4)),"Not built",IF(ABS(D4)&lt;=F4+0.000000001,"Agrees","Check"))</f>
        <v>Agrees</v>
      </c>
      <c r="F4" s="11">
        <v>1E-4</v>
      </c>
    </row>
    <row r="5" spans="1:6" x14ac:dyDescent="0.35">
      <c r="A5" s="5" t="s">
        <v>271</v>
      </c>
      <c r="B5" s="11">
        <v>-4.5328650000000001</v>
      </c>
      <c r="C5" s="16">
        <f>'02_EBITDA_Bridge'!E24</f>
        <v>-4.5328650000000001</v>
      </c>
      <c r="D5" s="18">
        <f t="shared" si="0"/>
        <v>0</v>
      </c>
      <c r="E5" s="26" t="str">
        <f t="shared" si="1"/>
        <v>Agrees</v>
      </c>
      <c r="F5" s="11">
        <v>1E-4</v>
      </c>
    </row>
    <row r="6" spans="1:6" x14ac:dyDescent="0.35">
      <c r="A6" s="5" t="s">
        <v>272</v>
      </c>
      <c r="B6" s="11">
        <v>-7.3297491299999997</v>
      </c>
      <c r="C6" s="16">
        <f>'02_EBITDA_Bridge'!F24</f>
        <v>-7.3297491299999997</v>
      </c>
      <c r="D6" s="18">
        <f t="shared" si="0"/>
        <v>0</v>
      </c>
      <c r="E6" s="26" t="str">
        <f t="shared" si="1"/>
        <v>Agrees</v>
      </c>
      <c r="F6" s="11">
        <v>1E-4</v>
      </c>
    </row>
    <row r="7" spans="1:6" x14ac:dyDescent="0.35">
      <c r="A7" s="5" t="s">
        <v>273</v>
      </c>
      <c r="B7" s="11">
        <v>-3.7848649999999999</v>
      </c>
      <c r="C7" s="16">
        <f>'02_EBITDA_Bridge'!E25</f>
        <v>-3.7848649999999999</v>
      </c>
      <c r="D7" s="18">
        <f t="shared" si="0"/>
        <v>0</v>
      </c>
      <c r="E7" s="26" t="str">
        <f t="shared" si="1"/>
        <v>Agrees</v>
      </c>
      <c r="F7" s="11">
        <v>1E-4</v>
      </c>
    </row>
    <row r="8" spans="1:6" x14ac:dyDescent="0.35">
      <c r="A8" s="5" t="s">
        <v>274</v>
      </c>
      <c r="B8" s="11">
        <v>-4.1920000000000002</v>
      </c>
      <c r="C8" s="16">
        <f>'02_EBITDA_Bridge'!D26</f>
        <v>-4.1920000000000002</v>
      </c>
      <c r="D8" s="18">
        <f t="shared" si="0"/>
        <v>0</v>
      </c>
      <c r="E8" s="26" t="str">
        <f t="shared" si="1"/>
        <v>Agrees</v>
      </c>
      <c r="F8" s="11">
        <v>1E-4</v>
      </c>
    </row>
    <row r="9" spans="1:6" x14ac:dyDescent="0.35">
      <c r="A9" s="5" t="s">
        <v>275</v>
      </c>
      <c r="B9" s="11">
        <v>-4.864865</v>
      </c>
      <c r="C9" s="16">
        <f>'02_EBITDA_Bridge'!E26</f>
        <v>-4.864865</v>
      </c>
      <c r="D9" s="18">
        <f t="shared" si="0"/>
        <v>0</v>
      </c>
      <c r="E9" s="26" t="str">
        <f t="shared" si="1"/>
        <v>Agrees</v>
      </c>
      <c r="F9" s="11">
        <v>1E-4</v>
      </c>
    </row>
    <row r="10" spans="1:6" x14ac:dyDescent="0.35">
      <c r="A10" s="5" t="s">
        <v>276</v>
      </c>
      <c r="B10" s="11">
        <v>-4.9487491300000004</v>
      </c>
      <c r="C10" s="16">
        <f>'02_EBITDA_Bridge'!F25</f>
        <v>-4.9487491299999995</v>
      </c>
      <c r="D10" s="18">
        <f t="shared" si="0"/>
        <v>8.8817841970012523E-16</v>
      </c>
      <c r="E10" s="26" t="str">
        <f t="shared" si="1"/>
        <v>Agrees</v>
      </c>
      <c r="F10" s="11">
        <v>1E-4</v>
      </c>
    </row>
    <row r="11" spans="1:6" x14ac:dyDescent="0.35">
      <c r="A11" s="5" t="s">
        <v>242</v>
      </c>
      <c r="B11" s="11">
        <v>-8.0105491299999994</v>
      </c>
      <c r="C11" s="16">
        <f>'02_EBITDA_Bridge'!F26</f>
        <v>-8.0105491299999994</v>
      </c>
      <c r="D11" s="18">
        <f t="shared" si="0"/>
        <v>0</v>
      </c>
      <c r="E11" s="26" t="str">
        <f t="shared" si="1"/>
        <v>Agrees</v>
      </c>
      <c r="F11" s="11">
        <v>1E-4</v>
      </c>
    </row>
    <row r="12" spans="1:6" x14ac:dyDescent="0.35">
      <c r="A12" s="5" t="s">
        <v>277</v>
      </c>
      <c r="B12" s="11">
        <v>-0.54</v>
      </c>
      <c r="C12" s="16">
        <f>'03_Normalisation'!B17</f>
        <v>-0.53999999999999992</v>
      </c>
      <c r="D12" s="18">
        <f t="shared" si="0"/>
        <v>1.1102230246251565E-16</v>
      </c>
      <c r="E12" s="26" t="str">
        <f t="shared" si="1"/>
        <v>Agrees</v>
      </c>
      <c r="F12" s="11">
        <v>1E-4</v>
      </c>
    </row>
    <row r="13" spans="1:6" x14ac:dyDescent="0.35">
      <c r="A13" s="5" t="s">
        <v>278</v>
      </c>
      <c r="B13" s="11">
        <v>3.5999999999999997E-2</v>
      </c>
      <c r="C13" s="16">
        <f>'03_Normalisation'!B18</f>
        <v>3.5999999999999997E-2</v>
      </c>
      <c r="D13" s="18">
        <f t="shared" si="0"/>
        <v>0</v>
      </c>
      <c r="E13" s="26" t="str">
        <f t="shared" si="1"/>
        <v>Agrees</v>
      </c>
      <c r="F13" s="11">
        <v>1E-4</v>
      </c>
    </row>
    <row r="14" spans="1:6" x14ac:dyDescent="0.35">
      <c r="A14" s="5" t="s">
        <v>279</v>
      </c>
      <c r="B14" s="11">
        <v>-4.6800000000000001E-2</v>
      </c>
      <c r="C14" s="16">
        <f>'03_Normalisation'!B20</f>
        <v>-4.6799999999999994E-2</v>
      </c>
      <c r="D14" s="18">
        <f t="shared" si="0"/>
        <v>6.9388939039072284E-18</v>
      </c>
      <c r="E14" s="26" t="str">
        <f t="shared" si="1"/>
        <v>Agrees</v>
      </c>
      <c r="F14" s="11">
        <v>1E-4</v>
      </c>
    </row>
    <row r="15" spans="1:6" x14ac:dyDescent="0.35">
      <c r="A15" s="5" t="s">
        <v>131</v>
      </c>
      <c r="B15" s="11">
        <v>-8.0105491299999994</v>
      </c>
      <c r="C15" s="16">
        <f>'03_Normalisation'!B22</f>
        <v>-8.0105491300000011</v>
      </c>
      <c r="D15" s="18">
        <f t="shared" si="0"/>
        <v>-1.7763568394002505E-15</v>
      </c>
      <c r="E15" s="26" t="str">
        <f t="shared" si="1"/>
        <v>Agrees</v>
      </c>
      <c r="F15" s="11">
        <v>1E-4</v>
      </c>
    </row>
    <row r="16" spans="1:6" x14ac:dyDescent="0.35">
      <c r="A16" s="5" t="s">
        <v>280</v>
      </c>
      <c r="B16" s="11">
        <v>3.25</v>
      </c>
      <c r="C16" s="16">
        <f>'04_NWC_Monthly'!B37</f>
        <v>3.25</v>
      </c>
      <c r="D16" s="18">
        <f t="shared" si="0"/>
        <v>0</v>
      </c>
      <c r="E16" s="26" t="str">
        <f t="shared" si="1"/>
        <v>Agrees</v>
      </c>
      <c r="F16" s="11">
        <v>1E-4</v>
      </c>
    </row>
    <row r="17" spans="1:6" x14ac:dyDescent="0.35">
      <c r="A17" s="5" t="s">
        <v>243</v>
      </c>
      <c r="B17" s="11">
        <v>4.85378168</v>
      </c>
      <c r="C17" s="16">
        <f>'04_NWC_Monthly'!B35</f>
        <v>4.8537816699999992</v>
      </c>
      <c r="D17" s="18">
        <f t="shared" si="0"/>
        <v>-1.000000082740371E-8</v>
      </c>
      <c r="E17" s="26" t="str">
        <f t="shared" si="1"/>
        <v>Agrees</v>
      </c>
      <c r="F17" s="11">
        <v>1E-4</v>
      </c>
    </row>
    <row r="18" spans="1:6" x14ac:dyDescent="0.35">
      <c r="A18" s="5" t="s">
        <v>281</v>
      </c>
      <c r="B18" s="11">
        <v>5.7343746400000004</v>
      </c>
      <c r="C18" s="16">
        <f>'04_NWC_Monthly'!B36</f>
        <v>5.7343746499999995</v>
      </c>
      <c r="D18" s="18">
        <f t="shared" si="0"/>
        <v>9.9999990510468706E-9</v>
      </c>
      <c r="E18" s="26" t="str">
        <f t="shared" si="1"/>
        <v>Agrees</v>
      </c>
      <c r="F18" s="11">
        <v>1E-4</v>
      </c>
    </row>
    <row r="19" spans="1:6" x14ac:dyDescent="0.35">
      <c r="A19" s="5" t="s">
        <v>282</v>
      </c>
      <c r="B19" s="11">
        <v>4.1148310099999996</v>
      </c>
      <c r="C19" s="16">
        <f>'04_NWC_Monthly'!B32</f>
        <v>4.1148310074999994</v>
      </c>
      <c r="D19" s="18">
        <f t="shared" si="0"/>
        <v>-2.5000002068509275E-9</v>
      </c>
      <c r="E19" s="26" t="str">
        <f t="shared" si="1"/>
        <v>Agrees</v>
      </c>
      <c r="F19" s="11">
        <v>1E-4</v>
      </c>
    </row>
    <row r="20" spans="1:6" x14ac:dyDescent="0.35">
      <c r="A20" s="5" t="s">
        <v>283</v>
      </c>
      <c r="B20" s="11">
        <v>4.59533024</v>
      </c>
      <c r="C20" s="16">
        <f>'04_NWC_Monthly'!B34</f>
        <v>4.5953302322222216</v>
      </c>
      <c r="D20" s="18">
        <f t="shared" si="0"/>
        <v>-7.7777784213139967E-9</v>
      </c>
      <c r="E20" s="26" t="str">
        <f t="shared" si="1"/>
        <v>Agrees</v>
      </c>
      <c r="F20" s="11">
        <v>1E-4</v>
      </c>
    </row>
    <row r="21" spans="1:6" x14ac:dyDescent="0.35">
      <c r="A21" s="5" t="s">
        <v>211</v>
      </c>
      <c r="B21" s="11">
        <v>0.91675896999999995</v>
      </c>
      <c r="C21" s="16">
        <f>'05_Net_Debt'!B24</f>
        <v>0.91675896999999995</v>
      </c>
      <c r="D21" s="18">
        <f t="shared" si="0"/>
        <v>0</v>
      </c>
      <c r="E21" s="26" t="str">
        <f t="shared" si="1"/>
        <v>Agrees</v>
      </c>
      <c r="F21" s="11">
        <v>1E-4</v>
      </c>
    </row>
    <row r="22" spans="1:6" x14ac:dyDescent="0.35">
      <c r="A22" s="5" t="s">
        <v>244</v>
      </c>
      <c r="B22" s="11">
        <v>22.797988119999999</v>
      </c>
      <c r="C22" s="16">
        <f>'05_Net_Debt'!B25</f>
        <v>22.797988110000002</v>
      </c>
      <c r="D22" s="18">
        <f t="shared" si="0"/>
        <v>-9.9999972746900312E-9</v>
      </c>
      <c r="E22" s="26" t="str">
        <f t="shared" si="1"/>
        <v>Agrees</v>
      </c>
      <c r="F22" s="11">
        <v>1E-4</v>
      </c>
    </row>
    <row r="23" spans="1:6" x14ac:dyDescent="0.35">
      <c r="A23" s="5" t="s">
        <v>284</v>
      </c>
      <c r="B23" s="11">
        <v>23.698532700000001</v>
      </c>
      <c r="C23" s="16">
        <f>'05_Net_Debt'!B26</f>
        <v>23.698532700000001</v>
      </c>
      <c r="D23" s="18">
        <f t="shared" si="0"/>
        <v>0</v>
      </c>
      <c r="E23" s="26" t="str">
        <f t="shared" si="1"/>
        <v>Agrees</v>
      </c>
      <c r="F23" s="11">
        <v>1E-4</v>
      </c>
    </row>
    <row r="24" spans="1:6" x14ac:dyDescent="0.35">
      <c r="A24" s="5" t="s">
        <v>285</v>
      </c>
      <c r="B24" s="13">
        <v>5</v>
      </c>
      <c r="C24" s="28">
        <f>'07_Consistency'!B27</f>
        <v>5</v>
      </c>
      <c r="D24" s="18">
        <f t="shared" si="0"/>
        <v>0</v>
      </c>
      <c r="E24" s="26" t="str">
        <f t="shared" si="1"/>
        <v>Agrees</v>
      </c>
      <c r="F24" s="11">
        <v>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ReadMe</vt:lpstr>
      <vt:lpstr>01_Sources</vt:lpstr>
      <vt:lpstr>02_EBITDA_Bridge</vt:lpstr>
      <vt:lpstr>03_Normalisation</vt:lpstr>
      <vt:lpstr>04_NWC_Monthly</vt:lpstr>
      <vt:lpstr>05_Net_Debt</vt:lpstr>
      <vt:lpstr>06_Footnotes</vt:lpstr>
      <vt:lpstr>07_Consistency</vt:lpstr>
      <vt:lpstr>08_AI_Spec</vt:lpstr>
      <vt:lpstr>09_Answer_Check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Anbuselvan A S</cp:lastModifiedBy>
  <dcterms:created xsi:type="dcterms:W3CDTF">2026-09-25T20:27:06Z</dcterms:created>
  <dcterms:modified xsi:type="dcterms:W3CDTF">2026-09-25T20:27:08Z</dcterms:modified>
</cp:coreProperties>
</file>